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updateLinks="never" codeName="ThisWorkbook" hidePivotFieldList="1" defaultThemeVersion="124226"/>
  <mc:AlternateContent xmlns:mc="http://schemas.openxmlformats.org/markup-compatibility/2006">
    <mc:Choice Requires="x15">
      <x15ac:absPath xmlns:x15ac="http://schemas.microsoft.com/office/spreadsheetml/2010/11/ac" url="https://d.docs.live.net/583454967128e953/Dumais Consulting/AES Corporation/AES Ohio/2025 Projection/Posting/"/>
    </mc:Choice>
  </mc:AlternateContent>
  <xr:revisionPtr revIDLastSave="4" documentId="14_{16A7E016-5276-4A5F-BD7B-3030CF25C5FD}" xr6:coauthVersionLast="47" xr6:coauthVersionMax="47" xr10:uidLastSave="{B8662994-CCF7-45C9-A6EB-93DFCDCFCA83}"/>
  <bookViews>
    <workbookView xWindow="28680" yWindow="-120" windowWidth="29040" windowHeight="15720" tabRatio="900" firstSheet="3" activeTab="11" xr2:uid="{00000000-000D-0000-FFFF-FFFF00000000}"/>
  </bookViews>
  <sheets>
    <sheet name="Appendix A" sheetId="1" r:id="rId1"/>
    <sheet name="1A - ADIT" sheetId="2" r:id="rId2"/>
    <sheet name="1B - ADIT Proration" sheetId="42" r:id="rId3"/>
    <sheet name="1C - ADIT Prior Year" sheetId="14" r:id="rId4"/>
    <sheet name="1D - ADIT True-up" sheetId="43" r:id="rId5"/>
    <sheet name="1E - ADIT True-Up Proration" sheetId="44" r:id="rId6"/>
    <sheet name="2 - Other Taxes" sheetId="4" r:id="rId7"/>
    <sheet name="3 - Revenue Credits" sheetId="5" r:id="rId8"/>
    <sheet name="4 - Cost Support" sheetId="7" r:id="rId9"/>
    <sheet name="5 - CWIP in Rate Base" sheetId="41" r:id="rId10"/>
    <sheet name="6A - NITS True-Up " sheetId="8" r:id="rId11"/>
    <sheet name="6B - Schedule 12 True-Up" sheetId="49" r:id="rId12"/>
    <sheet name="7A - Project ROE Adder" sheetId="46" r:id="rId13"/>
    <sheet name="7B - Schedule 12 Projects" sheetId="47" r:id="rId14"/>
    <sheet name="8 - Depreciations Rates" sheetId="38" r:id="rId15"/>
    <sheet name="9 - Excess ADIT" sheetId="40" r:id="rId16"/>
    <sheet name="10 - Misc. Liabilities" sheetId="45" r:id="rId17"/>
    <sheet name="11 - Corrections" sheetId="48" r:id="rId18"/>
    <sheet name="12 - Schedule 1A" sheetId="50" r:id="rId19"/>
    <sheet name="13 - A&amp;G Detail" sheetId="5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4">#REF!</definedName>
    <definedName name="_DAT5">#REF!</definedName>
    <definedName name="_DAT6">#REF!</definedName>
    <definedName name="_DAT7">#REF!</definedName>
    <definedName name="_DAT8">#REF!</definedName>
    <definedName name="_DAT9">#REF!</definedName>
    <definedName name="_Sep07">[1]Sheet1!$A$2:$AI$18</definedName>
    <definedName name="_tax756">'[2]99Consolidated'!$L$40</definedName>
    <definedName name="aaa">#REF!</definedName>
    <definedName name="aaaaa">#REF!</definedName>
    <definedName name="aafdfds">#REF!</definedName>
    <definedName name="acqui">#REF!</definedName>
    <definedName name="acquire">#REF!</definedName>
    <definedName name="add">#REF!</definedName>
    <definedName name="addition">#REF!</definedName>
    <definedName name="ADDITIONS">'[3]101 &amp;106 BY MON'!$B$9:$Q$64</definedName>
    <definedName name="addn">#REF!</definedName>
    <definedName name="addns">#REF!</definedName>
    <definedName name="addns101">#REF!</definedName>
    <definedName name="addns107">#REF!</definedName>
    <definedName name="adds">#REF!</definedName>
    <definedName name="April">#REF!</definedName>
    <definedName name="apriladd">#REF!</definedName>
    <definedName name="AprilBdgt">#REF!</definedName>
    <definedName name="AprilYTD">#REF!</definedName>
    <definedName name="August">#REF!</definedName>
    <definedName name="AugustBdgt">#REF!</definedName>
    <definedName name="AugustYTD">#REF!</definedName>
    <definedName name="CBWorkbookPriority" hidden="1">-2027624740</definedName>
    <definedName name="cddd">#REF!</definedName>
    <definedName name="Central">#REF!</definedName>
    <definedName name="Company">#REF!</definedName>
    <definedName name="current">#REF!</definedName>
    <definedName name="CurrMonth">'[4]Work Plan'!#REF!</definedName>
    <definedName name="Cust_OpsMonth">'[5]Customer Operations'!$P$8:$AC$73</definedName>
    <definedName name="Cust_OpsYTD">'[6]Customer Operations'!$A$8:$AI$90</definedName>
    <definedName name="cwip">#REF!</definedName>
    <definedName name="cwipadds">#REF!</definedName>
    <definedName name="d">[7]DistrictMarginContracts!$A$301</definedName>
    <definedName name="damage">#REF!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5">#REF!</definedName>
    <definedName name="DATA6">#REF!</definedName>
    <definedName name="DATA7">#REF!</definedName>
    <definedName name="DATA8">#REF!</definedName>
    <definedName name="DATA9">#REF!</definedName>
    <definedName name="_xlnm.Database">#REF!</definedName>
    <definedName name="December">#REF!</definedName>
    <definedName name="DecemberBdgt">#REF!</definedName>
    <definedName name="DecemberYTD">#REF!</definedName>
    <definedName name="dftydrtg">[8]Reporting_Period!$B$2</definedName>
    <definedName name="direct">#REF!</definedName>
    <definedName name="EconomicCOpsMonth">'[6]Customer Operations'!$P$44:$AD$83</definedName>
    <definedName name="EconomicCOpsYTD">'[6]Customer Operations'!$A$43:$N$84</definedName>
    <definedName name="EconomicEDMonth">[9]Elec!$P$36:$AA$48</definedName>
    <definedName name="EconomicEDYTD">[9]Elec!$A$36:$N$48</definedName>
    <definedName name="EconomicGasMonth">'[10]Gas Delivery'!$M$38:$X$51</definedName>
    <definedName name="EconomicGasYTD">'[10]Gas Delivery'!$A$38:$L$52</definedName>
    <definedName name="EconomicMonth">'[11]PSE&amp;G_EconomicSummary'!$L$41:$V$52</definedName>
    <definedName name="EconomicResMonth">'[12]PSE&amp;G'!$J$26:$P$33</definedName>
    <definedName name="EconomicResYTD">'[12]PSE&amp;G'!$A$26:$I$33</definedName>
    <definedName name="EconomicYTD">"'PSE&amp;G'!$A$7:$A$56"</definedName>
    <definedName name="Elec_DelMonth">[9]Elec!$P$8:$AA$64</definedName>
    <definedName name="Elec_DelYTD">[13]Elec!$A$8:$O$55</definedName>
    <definedName name="ewtgdfgsd">#REF!</definedName>
    <definedName name="fb">#REF!</definedName>
    <definedName name="February">#REF!</definedName>
    <definedName name="FebruaryBdgt">#REF!</definedName>
    <definedName name="FebruaryYTD">#REF!</definedName>
    <definedName name="Febwbs">#REF!</definedName>
    <definedName name="Format">#REF!</definedName>
    <definedName name="G3911001">#REF!</definedName>
    <definedName name="GasMonth">'[10]Gas Delivery'!$M$8:$W$60</definedName>
    <definedName name="GasYTD">'[10]Gas Delivery'!$A$8:$L$60</definedName>
    <definedName name="general">#REF!</definedName>
    <definedName name="GL_Name">#REF!</definedName>
    <definedName name="GreenEnergyCOpsMonth">'[6]Customer Operations'!$P$65:$AB$78</definedName>
    <definedName name="GreenEnergyEDMonth">[9]Elec!$P$45:$AA$48</definedName>
    <definedName name="GreenEnergyGasMonth">'[10]Gas Delivery'!$M$49:$X$60</definedName>
    <definedName name="GreenEnergyMonth">'[14]PSE&amp;G_GreenEnergySummary'!$L$55:$V$62</definedName>
    <definedName name="GreenEnergyYTD">'[15]PSE&amp;G_GreenEnergySummary'!$A$55:$J$65</definedName>
    <definedName name="IN_SERVICE_TRANSFER">'[3]101 &amp;106 BY MON'!$B$77:$Q$132</definedName>
    <definedName name="info">#REF!</definedName>
    <definedName name="January">#REF!</definedName>
    <definedName name="JanuaryBdgt">#REF!</definedName>
    <definedName name="JanuaryYTD">#REF!</definedName>
    <definedName name="July">#REF!</definedName>
    <definedName name="JulyBdgt">#REF!</definedName>
    <definedName name="JulyYTD">#REF!</definedName>
    <definedName name="June">#REF!</definedName>
    <definedName name="JuneBdgt">#REF!</definedName>
    <definedName name="JuneYTD">#REF!</definedName>
    <definedName name="jutyurt">#REF!</definedName>
    <definedName name="kfhjukuyikuyi">#REF!</definedName>
    <definedName name="kjgh">#REF!</definedName>
    <definedName name="March">#REF!</definedName>
    <definedName name="MarchBdgt">#REF!</definedName>
    <definedName name="MarchYTD">#REF!</definedName>
    <definedName name="May">#REF!</definedName>
    <definedName name="MayBdgt">#REF!</definedName>
    <definedName name="MayYTD">#REF!</definedName>
    <definedName name="metro">#REF!</definedName>
    <definedName name="Metropolitan">#REF!</definedName>
    <definedName name="Mnthlyspred">#REF!</definedName>
    <definedName name="Month">#REF!</definedName>
    <definedName name="MonthlySpread">#REF!</definedName>
    <definedName name="November">#REF!</definedName>
    <definedName name="NovemberBdgt">#REF!</definedName>
    <definedName name="NovemberYTD">#REF!</definedName>
    <definedName name="October">#REF!</definedName>
    <definedName name="OctoberBdgt">#REF!</definedName>
    <definedName name="OctoberYTD">#REF!</definedName>
    <definedName name="pal">#REF!</definedName>
    <definedName name="Palisades">#REF!</definedName>
    <definedName name="PeopleCOpsMonth">'[16]Customer Operations'!$P$9:$AC$18</definedName>
    <definedName name="PeopleCOpsYTD">'[16]Customer Operations'!$A$9:$O$18</definedName>
    <definedName name="PeopleEDMonth">[17]Elec!$P$8:$AC$17</definedName>
    <definedName name="PeopleEDYTD">[17]Elec!$A$8:$O$17</definedName>
    <definedName name="PeopleGasMonth">'[18]Gas Delivery'!$M$8:$W$15</definedName>
    <definedName name="PeopleGasYTD">'[18]Gas Delivery'!$A$8:$K$15</definedName>
    <definedName name="PeopleMonth">'[19]PSE&amp;GPeopleSummary'!$L$8:$V$18</definedName>
    <definedName name="PeopleResMonth">'[20]PSE&amp;G'!$H$8:$M$14</definedName>
    <definedName name="PeopleResYTD">'[20]PSE&amp;G'!$A$8:$G$14</definedName>
    <definedName name="PeopleYTD">'[19]PSE&amp;GPeopleSummary'!$A$8:$K$21</definedName>
    <definedName name="Plan">'[21]Sel Assign Match %'!$M$2</definedName>
    <definedName name="_xlnm.Print_Area" localSheetId="16">'10 - Misc. Liabilities'!$A$1:$R$28</definedName>
    <definedName name="_xlnm.Print_Area" localSheetId="1">'1A - ADIT'!$A$1:$I$100</definedName>
    <definedName name="_xlnm.Print_Area" localSheetId="2">'1B - ADIT Proration'!$A$1:$S$28</definedName>
    <definedName name="_xlnm.Print_Area" localSheetId="3">'1C - ADIT Prior Year'!$A$1:$I$95</definedName>
    <definedName name="_xlnm.Print_Area" localSheetId="5">'1E - ADIT True-Up Proration'!$A$1:$Q$55</definedName>
    <definedName name="_xlnm.Print_Area" localSheetId="6">'2 - Other Taxes'!$A$1:$J$61</definedName>
    <definedName name="_xlnm.Print_Area" localSheetId="7">'3 - Revenue Credits'!$A$2:$F$41</definedName>
    <definedName name="_xlnm.Print_Area" localSheetId="8">'4 - Cost Support'!$A$1:$V$345</definedName>
    <definedName name="_xlnm.Print_Area" localSheetId="10">'6A - NITS True-Up '!$A$1:$L$75</definedName>
    <definedName name="_xlnm.Print_Area" localSheetId="11">'6B - Schedule 12 True-Up'!$A$1:$L$76</definedName>
    <definedName name="_xlnm.Print_Area" localSheetId="12">'7A - Project ROE Adder'!$A$1:$Z$21</definedName>
    <definedName name="_xlnm.Print_Area" localSheetId="13">'7B - Schedule 12 Projects'!$A$1:$Z$26</definedName>
    <definedName name="_xlnm.Print_Area" localSheetId="15">'9 - Excess ADIT'!$A$1:$Q$44</definedName>
    <definedName name="_xlnm.Print_Area" localSheetId="0">'Appendix A'!$A$3:$H$315</definedName>
    <definedName name="_xlnm.Print_Area">#REF!</definedName>
    <definedName name="_xlnm.Print_Titles" localSheetId="8">'4 - Cost Support'!$1:$3</definedName>
    <definedName name="_xlnm.Print_Titles" localSheetId="0">'Appendix A'!$2:$6</definedName>
    <definedName name="PROJ">#REF!</definedName>
    <definedName name="project">#REF!</definedName>
    <definedName name="Qe">#REF!</definedName>
    <definedName name="RECLASSES">'[3]101 &amp;106 BY MON'!$B$280:$Q$326</definedName>
    <definedName name="report">[8]Reporting_Period!$B$4</definedName>
    <definedName name="report_month">[22]PeopleMenu!$D$4</definedName>
    <definedName name="report_month_new">[23]Reporting_Period!$B$4</definedName>
    <definedName name="report_quarter">[22]PeopleMenu!$D$3</definedName>
    <definedName name="report_quarter_new">[23]Reporting_Period!$B$3</definedName>
    <definedName name="report_year">[24]PeopleMenu!$D$2</definedName>
    <definedName name="RES_Month">'[12]PSE&amp;G'!$J$8:$P$44</definedName>
    <definedName name="RES_YTD">'[12]PSE&amp;G'!$A$8:$H$44</definedName>
    <definedName name="retire">#REF!</definedName>
    <definedName name="retired">#REF!</definedName>
    <definedName name="RETIREMENTS">'[3]101 &amp;106 BY MON'!$B$213:$Q$266</definedName>
    <definedName name="RptBudget">'[4]Work Plan'!#REF!</definedName>
    <definedName name="RptMonth">'[25]Work Plan'!$H$303</definedName>
    <definedName name="rqrwqfas">#REF!</definedName>
    <definedName name="rterteq">#REF!</definedName>
    <definedName name="SafeReliableCOpsMonth">'[5]Customer Operations'!$P$20:$AD$42</definedName>
    <definedName name="SafeReliableCOpsYTD">'[5]Customer Operations'!$A$20:$O$42</definedName>
    <definedName name="SafeReliableEDMonth">[13]Elec!$P$20:$AC$33</definedName>
    <definedName name="SafeReliableEDYTD">[13]Elec!$A$20:$N$34</definedName>
    <definedName name="SafeReliableGasMonth">'[26]Gas Delivery'!$M$18:$W$35</definedName>
    <definedName name="SafeReliableGasYTD">'[26]Gas Delivery'!$A$18:$K$37</definedName>
    <definedName name="SafeReliableMonth">'[27]PSE&amp;GSafeReliableSummary'!$L$21:$V$38</definedName>
    <definedName name="SafeReliableResMonth">'[20]PSE&amp;G'!$J$17:$R$23</definedName>
    <definedName name="SafeReliableResYTD">'[20]PSE&amp;G'!$A$17:$I$25</definedName>
    <definedName name="SafeReliableYTD">'[27]PSE&amp;GSafeReliableSummary'!$A$21:$K$38</definedName>
    <definedName name="SAP">#REF!</definedName>
    <definedName name="September">#REF!</definedName>
    <definedName name="SeptemberBdgt">#REF!</definedName>
    <definedName name="SeptemberYTD">#REF!</definedName>
    <definedName name="service">#REF!</definedName>
    <definedName name="solver_adj" localSheetId="0" hidden="1">'Appendix 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'Appendix 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Sort">#REF!</definedName>
    <definedName name="sou">#REF!</definedName>
    <definedName name="Southern">#REF!</definedName>
    <definedName name="stim">#REF!</definedName>
    <definedName name="tab">#REF!</definedName>
    <definedName name="Target_09">'[28]PSE&amp;G'!$A$8:$Z$64</definedName>
    <definedName name="TBLReforecastPM">#REF!</definedName>
    <definedName name="TEST0">#REF!</definedName>
    <definedName name="TESTHKEY">#REF!</definedName>
    <definedName name="TESTKEYS">#REF!</definedName>
    <definedName name="TESTVKEY">#REF!</definedName>
    <definedName name="tetyhdrt">[8]Reporting_Period!$B$3</definedName>
    <definedName name="tgr">'[29]PSE&amp;G'!$A$6:$Z$67</definedName>
    <definedName name="TimeList">#REF!</definedName>
    <definedName name="total">#REF!</definedName>
    <definedName name="toy">#REF!</definedName>
    <definedName name="trans">#REF!</definedName>
    <definedName name="TRANSFER">'[3]101 &amp;106 BY MON'!$B$145:$Q$200</definedName>
    <definedName name="tyertre">#REF!</definedName>
    <definedName name="tyetyrt">'[29]PSE&amp;G'!$A$6:$Z$67</definedName>
    <definedName name="tyeye">[8]Reporting_Period!$B$4</definedName>
    <definedName name="ups">#REF!</definedName>
    <definedName name="wbs">#REF!</definedName>
    <definedName name="Year">[30]Data!$B$18</definedName>
    <definedName name="Z_28948E05_8F34_4F1E_96FB_A80A6A844600_.wvu.Cols" localSheetId="1" hidden="1">'1A - ADIT'!#REF!</definedName>
    <definedName name="Z_28948E05_8F34_4F1E_96FB_A80A6A844600_.wvu.Cols" localSheetId="3" hidden="1">'1C - ADIT Prior Year'!#REF!</definedName>
    <definedName name="Z_28948E05_8F34_4F1E_96FB_A80A6A844600_.wvu.PrintArea" localSheetId="1" hidden="1">'1A - ADIT'!$B$1:$I$88</definedName>
    <definedName name="Z_28948E05_8F34_4F1E_96FB_A80A6A844600_.wvu.PrintArea" localSheetId="3" hidden="1">'1C - ADIT Prior Year'!$B$1:$I$82</definedName>
    <definedName name="Z_28948E05_8F34_4F1E_96FB_A80A6A844600_.wvu.PrintArea" localSheetId="7" hidden="1">'3 - Revenue Credits'!$A$2:$D$38</definedName>
    <definedName name="Z_28948E05_8F34_4F1E_96FB_A80A6A844600_.wvu.PrintArea" localSheetId="0" hidden="1">'Appendix A'!$A$2:$H$306</definedName>
    <definedName name="Z_28948E05_8F34_4F1E_96FB_A80A6A844600_.wvu.Rows" localSheetId="0" hidden="1">'Appendix A'!#REF!</definedName>
    <definedName name="Z_3A38DF7A_C35E_4DD3_9893_26310A3EF836_.wvu.PrintArea" localSheetId="7" hidden="1">'3 - Revenue Credits'!$A$2:$D$38</definedName>
    <definedName name="Z_3A38DF7A_C35E_4DD3_9893_26310A3EF836_.wvu.PrintArea" localSheetId="0" hidden="1">'Appendix A'!$A$2:$H$306</definedName>
    <definedName name="Z_416404B7_8533_4A12_ABD0_58CFDEB49D80_.wvu.PrintArea" localSheetId="1" hidden="1">'1A - ADIT'!$B$1:$I$98</definedName>
    <definedName name="Z_416404B7_8533_4A12_ABD0_58CFDEB49D80_.wvu.PrintArea" localSheetId="3" hidden="1">'1C - ADIT Prior Year'!$B$1:$I$87</definedName>
    <definedName name="Z_416404B7_8533_4A12_ABD0_58CFDEB49D80_.wvu.PrintArea" localSheetId="6" hidden="1">'2 - Other Taxes'!$A$1:$H$61</definedName>
    <definedName name="Z_416404B7_8533_4A12_ABD0_58CFDEB49D80_.wvu.PrintArea" localSheetId="7" hidden="1">'3 - Revenue Credits'!$A$2:$D$41</definedName>
    <definedName name="Z_416404B7_8533_4A12_ABD0_58CFDEB49D80_.wvu.PrintArea" localSheetId="8" hidden="1">'4 - Cost Support'!$A$1:$U$197</definedName>
    <definedName name="Z_416404B7_8533_4A12_ABD0_58CFDEB49D80_.wvu.PrintArea" localSheetId="10" hidden="1">'6A - NITS True-Up '!$B$1:$L$71</definedName>
    <definedName name="Z_416404B7_8533_4A12_ABD0_58CFDEB49D80_.wvu.PrintArea" localSheetId="11" hidden="1">'6B - Schedule 12 True-Up'!$B$1:$L$71</definedName>
    <definedName name="Z_416404B7_8533_4A12_ABD0_58CFDEB49D80_.wvu.PrintArea" localSheetId="0" hidden="1">'Appendix A'!$A$3:$H$309</definedName>
    <definedName name="Z_416404B7_8533_4A12_ABD0_58CFDEB49D80_.wvu.PrintTitles" localSheetId="8" hidden="1">'4 - Cost Support'!$1:$4</definedName>
    <definedName name="Z_416404B7_8533_4A12_ABD0_58CFDEB49D80_.wvu.PrintTitles" localSheetId="0" hidden="1">'Appendix A'!$2:$6</definedName>
    <definedName name="Z_4C7C2344_134C_465A_ADEB_A5E96AAE2308_.wvu.PrintArea" localSheetId="7" hidden="1">'3 - Revenue Credits'!$A$2:$D$38</definedName>
    <definedName name="Z_4C7C2344_134C_465A_ADEB_A5E96AAE2308_.wvu.PrintArea" localSheetId="0" hidden="1">'Appendix A'!$A$2:$H$306</definedName>
    <definedName name="Z_63011E91_4609_4523_98FE_FD252E915668_.wvu.Cols" localSheetId="1" hidden="1">'1A - ADIT'!#REF!</definedName>
    <definedName name="Z_63011E91_4609_4523_98FE_FD252E915668_.wvu.Cols" localSheetId="3" hidden="1">'1C - ADIT Prior Year'!#REF!</definedName>
    <definedName name="Z_63011E91_4609_4523_98FE_FD252E915668_.wvu.PrintArea" localSheetId="1" hidden="1">'1A - ADIT'!$B$1:$I$88</definedName>
    <definedName name="Z_63011E91_4609_4523_98FE_FD252E915668_.wvu.PrintArea" localSheetId="3" hidden="1">'1C - ADIT Prior Year'!$B$1:$I$82</definedName>
    <definedName name="Z_6928E596_79BD_4CEC_9F0D_07E62D69B2A5_.wvu.Cols" localSheetId="1" hidden="1">'1A - ADIT'!#REF!</definedName>
    <definedName name="Z_6928E596_79BD_4CEC_9F0D_07E62D69B2A5_.wvu.Cols" localSheetId="3" hidden="1">'1C - ADIT Prior Year'!#REF!</definedName>
    <definedName name="Z_6928E596_79BD_4CEC_9F0D_07E62D69B2A5_.wvu.PrintArea" localSheetId="1" hidden="1">'1A - ADIT'!$B$1:$I$88</definedName>
    <definedName name="Z_6928E596_79BD_4CEC_9F0D_07E62D69B2A5_.wvu.PrintArea" localSheetId="3" hidden="1">'1C - ADIT Prior Year'!$B$1:$I$82</definedName>
    <definedName name="Z_71B42B22_A376_44B5_B0C1_23FC1AA3DBA2_.wvu.Cols" localSheetId="1" hidden="1">'1A - ADIT'!#REF!</definedName>
    <definedName name="Z_71B42B22_A376_44B5_B0C1_23FC1AA3DBA2_.wvu.Cols" localSheetId="3" hidden="1">'1C - ADIT Prior Year'!#REF!</definedName>
    <definedName name="Z_71B42B22_A376_44B5_B0C1_23FC1AA3DBA2_.wvu.PrintArea" localSheetId="1" hidden="1">'1A - ADIT'!$B$1:$I$88</definedName>
    <definedName name="Z_71B42B22_A376_44B5_B0C1_23FC1AA3DBA2_.wvu.PrintArea" localSheetId="3" hidden="1">'1C - ADIT Prior Year'!$B$1:$I$82</definedName>
    <definedName name="Z_71B42B22_A376_44B5_B0C1_23FC1AA3DBA2_.wvu.PrintArea" localSheetId="7" hidden="1">'3 - Revenue Credits'!$A$2:$D$38</definedName>
    <definedName name="Z_71B42B22_A376_44B5_B0C1_23FC1AA3DBA2_.wvu.PrintArea" localSheetId="0" hidden="1">'Appendix A'!$A$2:$H$306</definedName>
    <definedName name="Z_71B42B22_A376_44B5_B0C1_23FC1AA3DBA2_.wvu.Rows" localSheetId="0" hidden="1">'Appendix A'!#REF!</definedName>
    <definedName name="Z_8FBB4DC9_2D51_4AB9_80D8_F8474B404C29_.wvu.Cols" localSheetId="1" hidden="1">'1A - ADIT'!#REF!</definedName>
    <definedName name="Z_8FBB4DC9_2D51_4AB9_80D8_F8474B404C29_.wvu.Cols" localSheetId="3" hidden="1">'1C - ADIT Prior Year'!#REF!</definedName>
    <definedName name="Z_8FBB4DC9_2D51_4AB9_80D8_F8474B404C29_.wvu.PrintArea" localSheetId="1" hidden="1">'1A - ADIT'!$B$1:$I$88</definedName>
    <definedName name="Z_8FBB4DC9_2D51_4AB9_80D8_F8474B404C29_.wvu.PrintArea" localSheetId="3" hidden="1">'1C - ADIT Prior Year'!$B$1:$I$82</definedName>
    <definedName name="Z_B647CB7F_C846_4278_B6B1_1EF7F3C004F5_.wvu.Cols" localSheetId="1" hidden="1">'1A - ADIT'!#REF!</definedName>
    <definedName name="Z_B647CB7F_C846_4278_B6B1_1EF7F3C004F5_.wvu.Cols" localSheetId="3" hidden="1">'1C - ADIT Prior Year'!#REF!</definedName>
    <definedName name="Z_B647CB7F_C846_4278_B6B1_1EF7F3C004F5_.wvu.PrintArea" localSheetId="1" hidden="1">'1A - ADIT'!$B$1:$I$88</definedName>
    <definedName name="Z_B647CB7F_C846_4278_B6B1_1EF7F3C004F5_.wvu.PrintArea" localSheetId="3" hidden="1">'1C - ADIT Prior Year'!$B$1:$I$82</definedName>
    <definedName name="Z_DA967730_B71F_4038_B1B7_9D4790729C5D_.wvu.PrintArea" localSheetId="7" hidden="1">'3 - Revenue Credits'!$A$2:$D$38</definedName>
    <definedName name="Z_DA967730_B71F_4038_B1B7_9D4790729C5D_.wvu.PrintArea" localSheetId="0" hidden="1">'Appendix A'!$A$2:$H$306</definedName>
    <definedName name="Z_DC91DEF3_837B_4BB9_A81E_3B78C5914E6C_.wvu.Cols" localSheetId="1" hidden="1">'1A - ADIT'!#REF!</definedName>
    <definedName name="Z_DC91DEF3_837B_4BB9_A81E_3B78C5914E6C_.wvu.Cols" localSheetId="3" hidden="1">'1C - ADIT Prior Year'!#REF!</definedName>
    <definedName name="Z_DC91DEF3_837B_4BB9_A81E_3B78C5914E6C_.wvu.PrintArea" localSheetId="1" hidden="1">'1A - ADIT'!$B$1:$I$88</definedName>
    <definedName name="Z_DC91DEF3_837B_4BB9_A81E_3B78C5914E6C_.wvu.PrintArea" localSheetId="3" hidden="1">'1C - ADIT Prior Year'!$B$1:$I$82</definedName>
    <definedName name="Z_DC91DEF3_837B_4BB9_A81E_3B78C5914E6C_.wvu.PrintArea" localSheetId="7" hidden="1">'3 - Revenue Credits'!$A$2:$D$38</definedName>
    <definedName name="Z_DC91DEF3_837B_4BB9_A81E_3B78C5914E6C_.wvu.PrintArea" localSheetId="0" hidden="1">'Appendix A'!$A$2:$H$306</definedName>
    <definedName name="Z_F96D6087_3330_4A81_95EC_26BA83722A49_.wvu.PrintArea" localSheetId="7" hidden="1">'3 - Revenue Credits'!$A$2:$D$38</definedName>
    <definedName name="Z_F96D6087_3330_4A81_95EC_26BA83722A49_.wvu.PrintArea" localSheetId="0" hidden="1">'Appendix A'!$A$2:$H$306</definedName>
    <definedName name="Z_FAAD9AAC_1337_43AB_BF1F_CCF9DFCF5B78_.wvu.Cols" localSheetId="1" hidden="1">'1A - ADIT'!#REF!</definedName>
    <definedName name="Z_FAAD9AAC_1337_43AB_BF1F_CCF9DFCF5B78_.wvu.Cols" localSheetId="3" hidden="1">'1C - ADIT Prior Year'!#REF!</definedName>
    <definedName name="Z_FAAD9AAC_1337_43AB_BF1F_CCF9DFCF5B78_.wvu.PrintArea" localSheetId="1" hidden="1">'1A - ADIT'!$B$1:$I$88</definedName>
    <definedName name="Z_FAAD9AAC_1337_43AB_BF1F_CCF9DFCF5B78_.wvu.PrintArea" localSheetId="3" hidden="1">'1C - ADIT Prior Year'!$B$1:$I$82</definedName>
    <definedName name="Z_FAAD9AAC_1337_43AB_BF1F_CCF9DFCF5B78_.wvu.PrintArea" localSheetId="7" hidden="1">'3 - Revenue Credits'!$A$2:$D$38</definedName>
    <definedName name="Z_FAAD9AAC_1337_43AB_BF1F_CCF9DFCF5B78_.wvu.PrintArea" localSheetId="0" hidden="1">'Appendix A'!$A$2:$H$306</definedName>
    <definedName name="zero">#REF!</definedName>
  </definedNames>
  <calcPr calcId="191028"/>
  <customWorkbookViews>
    <customWorkbookView name="S. Merchant - Personal View" guid="{3A38DF7A-C35E-4DD3-9893-26310A3EF836}" mergeInterval="0" personalView="1" maximized="1" windowWidth="1020" windowHeight="632" tabRatio="809" activeSheetId="2"/>
    <customWorkbookView name="DLCO - Personal View" guid="{F96D6087-3330-4A81-95EC-26BA83722A49}" mergeInterval="0" personalView="1" maximized="1" windowWidth="1020" windowHeight="579" tabRatio="809" activeSheetId="1"/>
    <customWorkbookView name="jbornak - Personal View" guid="{DA967730-B71F-4038-B1B7-9D4790729C5D}" mergeInterval="0" personalView="1" xWindow="14" yWindow="24" windowWidth="881" windowHeight="583" tabRatio="809" activeSheetId="1"/>
    <customWorkbookView name="smullin - Personal View" guid="{4C7C2344-134C-465A-ADEB-A5E96AAE2308}" mergeInterval="0" personalView="1" maximized="1" windowWidth="1020" windowHeight="603" tabRatio="809" activeSheetId="1"/>
    <customWorkbookView name="x317aks - Personal View" guid="{FAAD9AAC-1337-43AB-BF1F-CCF9DFCF5B78}" mergeInterval="0" personalView="1" maximized="1" windowWidth="1020" windowHeight="53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96" tabRatio="809" activeSheetId="11"/>
    <customWorkbookView name="Preferred Customer - Personal View" guid="{DC91DEF3-837B-4BB9-A81E-3B78C5914E6C}" mergeInterval="0" personalView="1" maximized="1" windowWidth="1004" windowHeight="571" tabRatio="809" activeSheetId="9"/>
    <customWorkbookView name="Dabydeen, Jeanette I. - Personal View" guid="{416404B7-8533-4A12-ABD0-58CFDEB49D80}" mergeInterval="0" personalView="1" maximized="1" windowWidth="1276" windowHeight="799" tabRatio="8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49" l="1"/>
  <c r="N40" i="49" s="1"/>
  <c r="N40" i="8"/>
  <c r="E21" i="47" l="1"/>
  <c r="G21" i="47"/>
  <c r="S85" i="7" l="1"/>
  <c r="S83" i="7"/>
  <c r="F62" i="1"/>
  <c r="S84" i="7"/>
  <c r="F280" i="1"/>
  <c r="A36" i="47"/>
  <c r="A37" i="47" s="1"/>
  <c r="A38" i="47" s="1"/>
  <c r="A39" i="47" s="1"/>
  <c r="A35" i="47"/>
  <c r="A34" i="47"/>
  <c r="H153" i="1" l="1"/>
  <c r="H152" i="1"/>
  <c r="H149" i="1"/>
  <c r="S22" i="41" l="1"/>
  <c r="S23" i="41"/>
  <c r="S24" i="41"/>
  <c r="S25" i="41"/>
  <c r="A25" i="41"/>
  <c r="S143" i="7" l="1"/>
  <c r="S11" i="41"/>
  <c r="S12" i="41"/>
  <c r="S13" i="41"/>
  <c r="S14" i="41"/>
  <c r="S15" i="41"/>
  <c r="S16" i="41"/>
  <c r="S17" i="41"/>
  <c r="S18" i="41"/>
  <c r="S20" i="41"/>
  <c r="S21" i="41"/>
  <c r="F19" i="41" l="1"/>
  <c r="F27" i="41" s="1"/>
  <c r="Q19" i="41" l="1"/>
  <c r="J19" i="41" l="1"/>
  <c r="H19" i="41"/>
  <c r="G19" i="41"/>
  <c r="I19" i="41"/>
  <c r="K19" i="41"/>
  <c r="L19" i="41"/>
  <c r="M19" i="41"/>
  <c r="N19" i="41"/>
  <c r="O19" i="41"/>
  <c r="P19" i="41"/>
  <c r="S19" i="41" l="1"/>
  <c r="S27" i="41" s="1"/>
  <c r="M34" i="47" l="1"/>
  <c r="I23" i="48"/>
  <c r="C21" i="47"/>
  <c r="K37" i="47"/>
  <c r="I37" i="47"/>
  <c r="I90" i="47"/>
  <c r="I92" i="47" s="1"/>
  <c r="I95" i="47" s="1"/>
  <c r="I97" i="47" s="1"/>
  <c r="I86" i="47"/>
  <c r="G44" i="47"/>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G79" i="47" s="1"/>
  <c r="G80" i="47" s="1"/>
  <c r="G81" i="47" s="1"/>
  <c r="G82" i="47" s="1"/>
  <c r="G83" i="47" s="1"/>
  <c r="G84" i="47" s="1"/>
  <c r="G85" i="47" s="1"/>
  <c r="G86" i="47" s="1"/>
  <c r="G87" i="47" s="1"/>
  <c r="G88" i="47" s="1"/>
  <c r="G89" i="47" s="1"/>
  <c r="G90" i="47" s="1"/>
  <c r="G91" i="47" s="1"/>
  <c r="G92" i="47" s="1"/>
  <c r="G93" i="47" s="1"/>
  <c r="G94" i="47" s="1"/>
  <c r="G95" i="47" s="1"/>
  <c r="G96" i="47" s="1"/>
  <c r="G97" i="47" s="1"/>
  <c r="G98" i="47" s="1"/>
  <c r="I87" i="47" l="1"/>
  <c r="I89" i="47" s="1"/>
  <c r="I91" i="47" s="1"/>
  <c r="I93" i="47" s="1"/>
  <c r="I94" i="47" s="1"/>
  <c r="I96" i="47" s="1"/>
  <c r="I98" i="47" s="1"/>
  <c r="I100" i="47"/>
  <c r="K36" i="47" s="1"/>
  <c r="K38" i="47" s="1"/>
  <c r="K39" i="47" s="1"/>
  <c r="I88" i="47"/>
  <c r="I99" i="47" l="1"/>
  <c r="I36" i="47" s="1"/>
  <c r="I38" i="47" s="1"/>
  <c r="M38" i="47" l="1"/>
  <c r="I39" i="47"/>
  <c r="C84" i="48"/>
  <c r="C86" i="48" s="1"/>
  <c r="C89" i="48" s="1"/>
  <c r="C91" i="48" s="1"/>
  <c r="C82" i="48"/>
  <c r="C80" i="48"/>
  <c r="C81" i="48" s="1"/>
  <c r="B83" i="48"/>
  <c r="B84" i="48"/>
  <c r="B85" i="48"/>
  <c r="B86" i="48"/>
  <c r="B87" i="48"/>
  <c r="B88" i="48" s="1"/>
  <c r="B89" i="48" s="1"/>
  <c r="B90" i="48" s="1"/>
  <c r="B91" i="48" s="1"/>
  <c r="B92" i="48" s="1"/>
  <c r="B74" i="48"/>
  <c r="B75" i="48"/>
  <c r="B76" i="48" s="1"/>
  <c r="B77" i="48" s="1"/>
  <c r="B78" i="48" s="1"/>
  <c r="B79" i="48" s="1"/>
  <c r="B80" i="48" s="1"/>
  <c r="B81" i="48" s="1"/>
  <c r="B82" i="48" s="1"/>
  <c r="B64" i="48"/>
  <c r="B65" i="48" s="1"/>
  <c r="B66" i="48" s="1"/>
  <c r="B67" i="48" s="1"/>
  <c r="B68" i="48" s="1"/>
  <c r="B69" i="48" s="1"/>
  <c r="B70" i="48" s="1"/>
  <c r="B71" i="48" s="1"/>
  <c r="B72" i="48" s="1"/>
  <c r="B73" i="48" s="1"/>
  <c r="B39" i="48"/>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38" i="48"/>
  <c r="H19" i="48"/>
  <c r="H23" i="48" s="1"/>
  <c r="E68" i="49"/>
  <c r="E70" i="49"/>
  <c r="E66" i="49"/>
  <c r="F279" i="1"/>
  <c r="E70" i="8"/>
  <c r="E72" i="8" s="1"/>
  <c r="E68" i="8"/>
  <c r="E66" i="8"/>
  <c r="E67" i="8" s="1"/>
  <c r="E69" i="8" s="1"/>
  <c r="E71" i="8" s="1"/>
  <c r="F282" i="1"/>
  <c r="F50" i="8"/>
  <c r="F51" i="8"/>
  <c r="F52" i="8"/>
  <c r="F53" i="8"/>
  <c r="F54" i="8"/>
  <c r="F55" i="8"/>
  <c r="F56" i="8"/>
  <c r="F57" i="8"/>
  <c r="F58" i="8"/>
  <c r="F59" i="8"/>
  <c r="F60" i="8"/>
  <c r="F61" i="8"/>
  <c r="F62" i="8"/>
  <c r="F63" i="8"/>
  <c r="F49" i="8"/>
  <c r="F35" i="51"/>
  <c r="F33" i="51"/>
  <c r="F31" i="51"/>
  <c r="F29" i="51"/>
  <c r="F27" i="51"/>
  <c r="F25" i="51"/>
  <c r="F23" i="51"/>
  <c r="F21" i="51"/>
  <c r="F19" i="51"/>
  <c r="F17" i="51"/>
  <c r="F15" i="51"/>
  <c r="F13" i="51"/>
  <c r="F11" i="51"/>
  <c r="F9" i="51"/>
  <c r="C83" i="48" l="1"/>
  <c r="C85" i="48" s="1"/>
  <c r="C87" i="48" s="1"/>
  <c r="C88" i="48" s="1"/>
  <c r="C90" i="48" s="1"/>
  <c r="C92" i="48" s="1"/>
  <c r="C94" i="48"/>
  <c r="H25" i="48" s="1"/>
  <c r="H27" i="48" s="1"/>
  <c r="H29" i="48" s="1"/>
  <c r="C93" i="48"/>
  <c r="F25" i="48" s="1"/>
  <c r="I21" i="47"/>
  <c r="M39" i="47"/>
  <c r="H21" i="48"/>
  <c r="E67" i="49"/>
  <c r="E72" i="49"/>
  <c r="T12" i="7"/>
  <c r="T168" i="7"/>
  <c r="D88" i="2"/>
  <c r="C88" i="2"/>
  <c r="C85" i="2"/>
  <c r="E69" i="49" l="1"/>
  <c r="C79" i="14"/>
  <c r="C80" i="14"/>
  <c r="C81" i="14"/>
  <c r="C82" i="14"/>
  <c r="C83" i="14"/>
  <c r="C78" i="14"/>
  <c r="C77" i="14"/>
  <c r="C87" i="2"/>
  <c r="C86" i="2"/>
  <c r="C84" i="2"/>
  <c r="C83" i="2"/>
  <c r="E71" i="49" l="1"/>
  <c r="V29" i="40"/>
  <c r="I37" i="8" l="1"/>
  <c r="C60" i="14" l="1"/>
  <c r="C59" i="14"/>
  <c r="C63" i="2"/>
  <c r="C37" i="14"/>
  <c r="C36" i="14"/>
  <c r="C35" i="14"/>
  <c r="C34" i="14"/>
  <c r="C33" i="14"/>
  <c r="C32" i="14"/>
  <c r="C31" i="14"/>
  <c r="C30" i="14"/>
  <c r="C28" i="14"/>
  <c r="C27" i="14"/>
  <c r="C26" i="14"/>
  <c r="G26" i="14"/>
  <c r="C42" i="2"/>
  <c r="D42" i="2" s="1"/>
  <c r="C35" i="2"/>
  <c r="C33" i="2"/>
  <c r="C32" i="2"/>
  <c r="C31" i="2"/>
  <c r="D25" i="5" l="1"/>
  <c r="S16" i="45"/>
  <c r="S18" i="45"/>
  <c r="S14" i="45"/>
  <c r="S12" i="45"/>
  <c r="R143" i="7"/>
  <c r="T51" i="7"/>
  <c r="N35" i="51" l="1"/>
  <c r="N33" i="51"/>
  <c r="N31" i="51"/>
  <c r="N29" i="51"/>
  <c r="N27" i="51"/>
  <c r="N25" i="51"/>
  <c r="N23" i="51"/>
  <c r="N21" i="51"/>
  <c r="N19" i="51"/>
  <c r="N17" i="51"/>
  <c r="N15" i="51"/>
  <c r="N13" i="51"/>
  <c r="N11" i="51"/>
  <c r="N9" i="51"/>
  <c r="G33" i="40"/>
  <c r="G34" i="40"/>
  <c r="G35" i="40"/>
  <c r="G32" i="40"/>
  <c r="G28" i="40"/>
  <c r="G27" i="40"/>
  <c r="G13" i="40"/>
  <c r="G14" i="40"/>
  <c r="G15" i="40"/>
  <c r="G16" i="40"/>
  <c r="G17" i="40"/>
  <c r="G18" i="40"/>
  <c r="G19" i="40"/>
  <c r="G20" i="40"/>
  <c r="G21" i="40"/>
  <c r="G22" i="40"/>
  <c r="G23" i="40"/>
  <c r="G12" i="40"/>
  <c r="Q52" i="40"/>
  <c r="G57" i="40"/>
  <c r="G58" i="40"/>
  <c r="G59" i="40"/>
  <c r="G60" i="40"/>
  <c r="G61" i="40"/>
  <c r="G56" i="40"/>
  <c r="G47" i="40"/>
  <c r="G46" i="40"/>
  <c r="G52" i="40"/>
  <c r="G51" i="40"/>
  <c r="D93" i="43" l="1"/>
  <c r="G92" i="43"/>
  <c r="F91" i="43"/>
  <c r="D90" i="43"/>
  <c r="D89" i="43"/>
  <c r="F88" i="43"/>
  <c r="G33" i="43"/>
  <c r="F20" i="45" l="1"/>
  <c r="S133" i="7" l="1"/>
  <c r="T117" i="7"/>
  <c r="H138" i="1"/>
  <c r="H73" i="1" l="1"/>
  <c r="D37" i="14" l="1"/>
  <c r="G38" i="14"/>
  <c r="T230" i="7" l="1"/>
  <c r="T229" i="7"/>
  <c r="T222" i="7"/>
  <c r="T48" i="7"/>
  <c r="T49" i="7"/>
  <c r="T50" i="7"/>
  <c r="T47" i="7"/>
  <c r="D18" i="5" l="1"/>
  <c r="D26" i="5" l="1"/>
  <c r="T215" i="7"/>
  <c r="T213" i="7"/>
  <c r="T212" i="7"/>
  <c r="T214" i="7"/>
  <c r="T298" i="7" l="1"/>
  <c r="S70" i="7"/>
  <c r="A26" i="47" l="1"/>
  <c r="I17" i="2"/>
  <c r="W36" i="40" l="1"/>
  <c r="U36" i="40"/>
  <c r="S36" i="40"/>
  <c r="Q36" i="40"/>
  <c r="O36" i="40"/>
  <c r="M36" i="40"/>
  <c r="I60" i="40"/>
  <c r="I59" i="40"/>
  <c r="I58" i="40"/>
  <c r="I57" i="40"/>
  <c r="I56" i="40"/>
  <c r="I51" i="40"/>
  <c r="I46" i="40"/>
  <c r="I34" i="40"/>
  <c r="I33" i="40"/>
  <c r="I32" i="40"/>
  <c r="I13" i="40"/>
  <c r="I14" i="40"/>
  <c r="I15" i="40"/>
  <c r="O15" i="40" s="1"/>
  <c r="I16" i="40"/>
  <c r="I17" i="40"/>
  <c r="I18" i="40"/>
  <c r="I19" i="40"/>
  <c r="I20" i="40"/>
  <c r="I21" i="40"/>
  <c r="I22" i="40"/>
  <c r="I12" i="40"/>
  <c r="I80" i="40"/>
  <c r="D60" i="40" s="1"/>
  <c r="E60" i="40" s="1"/>
  <c r="K62" i="40"/>
  <c r="G62" i="40"/>
  <c r="F62" i="40"/>
  <c r="C62" i="40"/>
  <c r="O61" i="40"/>
  <c r="M61" i="40"/>
  <c r="L61" i="40"/>
  <c r="D58" i="40"/>
  <c r="E58" i="40" s="1"/>
  <c r="K53" i="40"/>
  <c r="G53" i="40"/>
  <c r="F53" i="40"/>
  <c r="C53" i="40"/>
  <c r="O52" i="40"/>
  <c r="O53" i="40" s="1"/>
  <c r="M52" i="40"/>
  <c r="M53" i="40" s="1"/>
  <c r="L52"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D17" i="40"/>
  <c r="E17" i="40" s="1"/>
  <c r="D14" i="40"/>
  <c r="E14" i="40" s="1"/>
  <c r="O13" i="40"/>
  <c r="D13" i="40"/>
  <c r="E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G64" i="40" l="1"/>
  <c r="G66" i="40" s="1"/>
  <c r="M58" i="40"/>
  <c r="N61" i="40"/>
  <c r="D20" i="40"/>
  <c r="E20" i="40" s="1"/>
  <c r="N29" i="40"/>
  <c r="X29" i="40"/>
  <c r="D61" i="40"/>
  <c r="E61" i="40" s="1"/>
  <c r="K64" i="40"/>
  <c r="P61" i="40"/>
  <c r="W61" i="40" s="1"/>
  <c r="D15" i="40"/>
  <c r="E15" i="40" s="1"/>
  <c r="D34" i="40"/>
  <c r="E34" i="40" s="1"/>
  <c r="L34" i="40" s="1"/>
  <c r="N34" i="40" s="1"/>
  <c r="P34" i="40" s="1"/>
  <c r="R34" i="40" s="1"/>
  <c r="T34" i="40" s="1"/>
  <c r="V34" i="40" s="1"/>
  <c r="X34" i="40" s="1"/>
  <c r="D51" i="40"/>
  <c r="E51" i="40" s="1"/>
  <c r="E53" i="40" s="1"/>
  <c r="D57" i="40"/>
  <c r="E57" i="40" s="1"/>
  <c r="N23" i="40"/>
  <c r="P23" i="40" s="1"/>
  <c r="W23" i="40" s="1"/>
  <c r="R29" i="40"/>
  <c r="D18" i="40"/>
  <c r="E18" i="40" s="1"/>
  <c r="D22" i="40"/>
  <c r="E22" i="40" s="1"/>
  <c r="D27" i="40"/>
  <c r="D29" i="40" s="1"/>
  <c r="D33" i="40"/>
  <c r="E33" i="40" s="1"/>
  <c r="L33" i="40" s="1"/>
  <c r="N33" i="40" s="1"/>
  <c r="P33" i="40" s="1"/>
  <c r="R33" i="40" s="1"/>
  <c r="T33" i="40" s="1"/>
  <c r="V33" i="40" s="1"/>
  <c r="X33" i="40" s="1"/>
  <c r="D59" i="40"/>
  <c r="E59" i="40" s="1"/>
  <c r="O59" i="40" s="1"/>
  <c r="D12" i="40"/>
  <c r="E12" i="40" s="1"/>
  <c r="D16" i="40"/>
  <c r="E16" i="40" s="1"/>
  <c r="D19" i="40"/>
  <c r="E19" i="40" s="1"/>
  <c r="D23" i="40"/>
  <c r="E23" i="40" s="1"/>
  <c r="D46" i="40"/>
  <c r="E46" i="40" s="1"/>
  <c r="E48" i="40" s="1"/>
  <c r="D52" i="40"/>
  <c r="E52" i="40" s="1"/>
  <c r="D56" i="40"/>
  <c r="E56" i="40" s="1"/>
  <c r="L46" i="40"/>
  <c r="N46" i="40" s="1"/>
  <c r="P46" i="40" s="1"/>
  <c r="R46" i="40" s="1"/>
  <c r="T46" i="40" s="1"/>
  <c r="V46" i="40" s="1"/>
  <c r="X46" i="40" s="1"/>
  <c r="Z46" i="40" s="1"/>
  <c r="M18" i="40"/>
  <c r="M22" i="40"/>
  <c r="M16" i="40"/>
  <c r="P29" i="40"/>
  <c r="Y27" i="40"/>
  <c r="Z27" i="40" s="1"/>
  <c r="K38" i="40"/>
  <c r="N52" i="40"/>
  <c r="P52" i="40" s="1"/>
  <c r="Y52" i="40" s="1"/>
  <c r="Y53" i="40" s="1"/>
  <c r="O58" i="40"/>
  <c r="L19" i="40"/>
  <c r="O19" i="40"/>
  <c r="L20" i="40"/>
  <c r="O20" i="40"/>
  <c r="L21" i="40"/>
  <c r="O21" i="40"/>
  <c r="T29" i="40"/>
  <c r="V27" i="40"/>
  <c r="M57" i="40"/>
  <c r="L57" i="40"/>
  <c r="O57" i="40"/>
  <c r="L60" i="40"/>
  <c r="O60" i="40"/>
  <c r="M60" i="40"/>
  <c r="M13" i="40"/>
  <c r="L13" i="40"/>
  <c r="M15" i="40"/>
  <c r="L15" i="40"/>
  <c r="L16" i="40"/>
  <c r="O16" i="40"/>
  <c r="M19" i="40"/>
  <c r="Y35" i="40"/>
  <c r="R35" i="40"/>
  <c r="T35" i="40" s="1"/>
  <c r="V35" i="40" s="1"/>
  <c r="X35" i="40" s="1"/>
  <c r="L17" i="40"/>
  <c r="O17" i="40"/>
  <c r="M20" i="40"/>
  <c r="M17" i="40"/>
  <c r="L18" i="40"/>
  <c r="O18" i="40"/>
  <c r="M21" i="40"/>
  <c r="L22" i="40"/>
  <c r="O22" i="40"/>
  <c r="U23" i="40"/>
  <c r="Z28" i="40"/>
  <c r="Y33" i="40"/>
  <c r="Z33" i="40" s="1"/>
  <c r="Q61" i="40"/>
  <c r="R61" i="40" s="1"/>
  <c r="L59" i="40"/>
  <c r="S61" i="40"/>
  <c r="E36" i="40"/>
  <c r="L58" i="40"/>
  <c r="N58" i="40" s="1"/>
  <c r="M59" i="40"/>
  <c r="D36" i="40"/>
  <c r="D53" i="40"/>
  <c r="Y34" i="40" l="1"/>
  <c r="N16" i="40"/>
  <c r="P16" i="40" s="1"/>
  <c r="N57" i="40"/>
  <c r="E62" i="40"/>
  <c r="D62" i="40"/>
  <c r="U61" i="40"/>
  <c r="Y61" i="40"/>
  <c r="Q53" i="40"/>
  <c r="N18" i="40"/>
  <c r="P18" i="40" s="1"/>
  <c r="S18" i="40" s="1"/>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T61" i="40"/>
  <c r="P58" i="40"/>
  <c r="U58" i="40" s="1"/>
  <c r="U52" i="40"/>
  <c r="U53" i="40" s="1"/>
  <c r="E64" i="40"/>
  <c r="E66" i="40" s="1"/>
  <c r="S52" i="40"/>
  <c r="S53" i="40" s="1"/>
  <c r="W52" i="40"/>
  <c r="W53" i="40" s="1"/>
  <c r="Z29" i="40"/>
  <c r="W13" i="40"/>
  <c r="I36" i="40"/>
  <c r="L32" i="40"/>
  <c r="M14" i="40"/>
  <c r="L14" i="40"/>
  <c r="O14" i="40"/>
  <c r="N19" i="40"/>
  <c r="P19" i="40" s="1"/>
  <c r="I53" i="40"/>
  <c r="L51" i="40"/>
  <c r="G24" i="40"/>
  <c r="E24" i="40"/>
  <c r="S60" i="40"/>
  <c r="S58" i="40"/>
  <c r="N59" i="40"/>
  <c r="P59" i="40" s="1"/>
  <c r="L56" i="40"/>
  <c r="I62" i="40"/>
  <c r="O56" i="40"/>
  <c r="O62" i="40" s="1"/>
  <c r="O64" i="40" s="1"/>
  <c r="M56" i="40"/>
  <c r="M62" i="40" s="1"/>
  <c r="M64" i="40" s="1"/>
  <c r="N15" i="40"/>
  <c r="P15" i="40" s="1"/>
  <c r="P57" i="40"/>
  <c r="N17" i="40"/>
  <c r="P17" i="40" s="1"/>
  <c r="N20" i="40"/>
  <c r="P20" i="40" s="1"/>
  <c r="Y18" i="40" l="1"/>
  <c r="W18" i="40"/>
  <c r="U18" i="40"/>
  <c r="Q18" i="40"/>
  <c r="R18" i="40" s="1"/>
  <c r="T18" i="40" s="1"/>
  <c r="V18" i="40" s="1"/>
  <c r="X18" i="40" s="1"/>
  <c r="Z18" i="40" s="1"/>
  <c r="R52" i="40"/>
  <c r="T52" i="40" s="1"/>
  <c r="V52" i="40" s="1"/>
  <c r="X52" i="40" s="1"/>
  <c r="Z52" i="40" s="1"/>
  <c r="T23" i="40"/>
  <c r="V23" i="40" s="1"/>
  <c r="X23" i="40" s="1"/>
  <c r="Z23" i="40" s="1"/>
  <c r="W21" i="40"/>
  <c r="V61" i="40"/>
  <c r="X61" i="40" s="1"/>
  <c r="Z61" i="40" s="1"/>
  <c r="W60" i="40"/>
  <c r="I64" i="40"/>
  <c r="I66" i="40" s="1"/>
  <c r="Q13" i="40"/>
  <c r="R13" i="40" s="1"/>
  <c r="U21" i="40"/>
  <c r="Y13" i="40"/>
  <c r="Y60" i="40"/>
  <c r="S13" i="40"/>
  <c r="T13" i="40" s="1"/>
  <c r="V13" i="40" s="1"/>
  <c r="X13" i="40" s="1"/>
  <c r="Z13" i="40" s="1"/>
  <c r="N32" i="40"/>
  <c r="L36" i="40"/>
  <c r="S21" i="40"/>
  <c r="Y58" i="40"/>
  <c r="Q21" i="40"/>
  <c r="R21" i="40" s="1"/>
  <c r="T21" i="40" s="1"/>
  <c r="G29" i="40"/>
  <c r="I27" i="40"/>
  <c r="I29" i="40" s="1"/>
  <c r="W58" i="40"/>
  <c r="Q60" i="40"/>
  <c r="R60" i="40" s="1"/>
  <c r="T60" i="40" s="1"/>
  <c r="V60" i="40" s="1"/>
  <c r="X60" i="40" s="1"/>
  <c r="Q58" i="40"/>
  <c r="R58" i="40" s="1"/>
  <c r="T58" i="40" s="1"/>
  <c r="V58" i="40" s="1"/>
  <c r="N14" i="40"/>
  <c r="P14" i="40" s="1"/>
  <c r="Q14" i="40" s="1"/>
  <c r="R14" i="40" s="1"/>
  <c r="S22" i="40"/>
  <c r="W22" i="40"/>
  <c r="Q22" i="40"/>
  <c r="R22" i="40" s="1"/>
  <c r="E38" i="40"/>
  <c r="Y22" i="40"/>
  <c r="N51" i="40"/>
  <c r="L53" i="40"/>
  <c r="W59" i="40"/>
  <c r="S59" i="40"/>
  <c r="Y59" i="40"/>
  <c r="U59" i="40"/>
  <c r="Q59" i="40"/>
  <c r="R59" i="40" s="1"/>
  <c r="I24" i="40"/>
  <c r="M12" i="40"/>
  <c r="M24" i="40" s="1"/>
  <c r="L12" i="40"/>
  <c r="O12" i="40"/>
  <c r="O24" i="40" s="1"/>
  <c r="Q17" i="40"/>
  <c r="R17" i="40" s="1"/>
  <c r="U17" i="40"/>
  <c r="Y17" i="40"/>
  <c r="S17" i="40"/>
  <c r="W17" i="40"/>
  <c r="Y57" i="40"/>
  <c r="U57" i="40"/>
  <c r="Q57" i="40"/>
  <c r="R57" i="40" s="1"/>
  <c r="T57" i="40" s="1"/>
  <c r="W57" i="40"/>
  <c r="S57" i="40"/>
  <c r="E40" i="40"/>
  <c r="E68" i="40" s="1"/>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T17" i="40" l="1"/>
  <c r="V17" i="40" s="1"/>
  <c r="X17" i="40" s="1"/>
  <c r="Z17" i="40" s="1"/>
  <c r="V21" i="40"/>
  <c r="X21" i="40" s="1"/>
  <c r="Z21" i="40" s="1"/>
  <c r="Z60" i="40"/>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X15" i="40" s="1"/>
  <c r="Z15" i="40" s="1"/>
  <c r="T59" i="40"/>
  <c r="V59" i="40" s="1"/>
  <c r="X59" i="40" s="1"/>
  <c r="Z59" i="40" s="1"/>
  <c r="O38" i="40"/>
  <c r="O70" i="40" s="1"/>
  <c r="P56" i="40"/>
  <c r="N62" i="40"/>
  <c r="T20" i="40"/>
  <c r="V20" i="40" s="1"/>
  <c r="X20" i="40" s="1"/>
  <c r="Z20" i="40" s="1"/>
  <c r="N12" i="40"/>
  <c r="L24" i="40"/>
  <c r="G40" i="40"/>
  <c r="G68" i="40" s="1"/>
  <c r="M38" i="40"/>
  <c r="M70" i="40" s="1"/>
  <c r="L64" i="40"/>
  <c r="I38" i="40"/>
  <c r="I40" i="40" s="1"/>
  <c r="I68" i="40" s="1"/>
  <c r="N53" i="40"/>
  <c r="P51" i="40"/>
  <c r="V14" i="40" l="1"/>
  <c r="X14" i="40" s="1"/>
  <c r="Z14" i="40" s="1"/>
  <c r="P36" i="40"/>
  <c r="R32" i="40"/>
  <c r="Y32" i="40"/>
  <c r="Y36" i="40" s="1"/>
  <c r="L66" i="40"/>
  <c r="N64" i="40"/>
  <c r="L38" i="40"/>
  <c r="W56" i="40"/>
  <c r="W62" i="40" s="1"/>
  <c r="W64" i="40" s="1"/>
  <c r="S56" i="40"/>
  <c r="S62" i="40" s="1"/>
  <c r="S64" i="40" s="1"/>
  <c r="U56" i="40"/>
  <c r="U62" i="40" s="1"/>
  <c r="U64" i="40" s="1"/>
  <c r="P62" i="40"/>
  <c r="Y56" i="40"/>
  <c r="Y62" i="40" s="1"/>
  <c r="Y64" i="40" s="1"/>
  <c r="Q56" i="40"/>
  <c r="Q62" i="40" s="1"/>
  <c r="Q64" i="40" s="1"/>
  <c r="P53" i="40"/>
  <c r="R51" i="40"/>
  <c r="N24" i="40"/>
  <c r="P12" i="40"/>
  <c r="N37" i="51"/>
  <c r="P64" i="40" l="1"/>
  <c r="R56" i="40"/>
  <c r="R62" i="40" s="1"/>
  <c r="T32" i="40"/>
  <c r="R36" i="40"/>
  <c r="L40" i="40"/>
  <c r="L68" i="40" s="1"/>
  <c r="N66" i="40"/>
  <c r="T56" i="40"/>
  <c r="R53" i="40"/>
  <c r="T51" i="40"/>
  <c r="Y12" i="40"/>
  <c r="Y24" i="40" s="1"/>
  <c r="U12" i="40"/>
  <c r="U24" i="40" s="1"/>
  <c r="Q12" i="40"/>
  <c r="Q24" i="40" s="1"/>
  <c r="P24" i="40"/>
  <c r="W12" i="40"/>
  <c r="W24" i="40" s="1"/>
  <c r="S12" i="40"/>
  <c r="S24" i="40" s="1"/>
  <c r="N38" i="40"/>
  <c r="P66" i="40" l="1"/>
  <c r="R64" i="40"/>
  <c r="N40" i="40"/>
  <c r="V32" i="40"/>
  <c r="T36" i="40"/>
  <c r="N68" i="40"/>
  <c r="Q38" i="40"/>
  <c r="Q70" i="40" s="1"/>
  <c r="V51" i="40"/>
  <c r="T53" i="40"/>
  <c r="U38" i="40"/>
  <c r="U70" i="40" s="1"/>
  <c r="R203" i="7" s="1"/>
  <c r="S38" i="40"/>
  <c r="S70" i="40" s="1"/>
  <c r="Y38" i="40"/>
  <c r="Y70" i="40" s="1"/>
  <c r="W38" i="40"/>
  <c r="W70" i="40" s="1"/>
  <c r="P38" i="40"/>
  <c r="P40" i="40" s="1"/>
  <c r="P68" i="40" s="1"/>
  <c r="R12" i="40"/>
  <c r="V56" i="40"/>
  <c r="T62" i="40"/>
  <c r="H235" i="1" l="1"/>
  <c r="R66" i="40"/>
  <c r="X32" i="40"/>
  <c r="V36" i="40"/>
  <c r="T64" i="40"/>
  <c r="Q203" i="7" s="1"/>
  <c r="X56" i="40"/>
  <c r="V62" i="40"/>
  <c r="R24" i="40"/>
  <c r="T12" i="40"/>
  <c r="V53" i="40"/>
  <c r="X51" i="40"/>
  <c r="X36" i="40" l="1"/>
  <c r="Z32" i="40"/>
  <c r="Z36" i="40" s="1"/>
  <c r="T66" i="40"/>
  <c r="V64" i="40"/>
  <c r="S203" i="7" s="1"/>
  <c r="T24" i="40"/>
  <c r="V12" i="40"/>
  <c r="R38" i="40"/>
  <c r="R40" i="40" s="1"/>
  <c r="R68" i="40" s="1"/>
  <c r="X53" i="40"/>
  <c r="Z51" i="40"/>
  <c r="Z53" i="40" s="1"/>
  <c r="Z56" i="40"/>
  <c r="Z62" i="40" s="1"/>
  <c r="X62" i="40"/>
  <c r="V66" i="40" l="1"/>
  <c r="Z64" i="40"/>
  <c r="V24" i="40"/>
  <c r="X12" i="40"/>
  <c r="X64" i="40"/>
  <c r="T38" i="40"/>
  <c r="A37" i="51"/>
  <c r="A35" i="51"/>
  <c r="A23" i="51"/>
  <c r="A25" i="51" s="1"/>
  <c r="A27" i="51" s="1"/>
  <c r="A29" i="51" s="1"/>
  <c r="A31" i="51" s="1"/>
  <c r="A33" i="51" s="1"/>
  <c r="A21" i="51"/>
  <c r="A19" i="51"/>
  <c r="A17" i="51"/>
  <c r="A15" i="51"/>
  <c r="A13" i="51"/>
  <c r="A11" i="51"/>
  <c r="L37" i="51"/>
  <c r="J37" i="51"/>
  <c r="H37" i="51"/>
  <c r="F37" i="51"/>
  <c r="T40" i="40" l="1"/>
  <c r="T68" i="40" s="1"/>
  <c r="X66" i="40"/>
  <c r="Z66" i="40"/>
  <c r="Z12" i="40"/>
  <c r="Z24" i="40" s="1"/>
  <c r="X24" i="40"/>
  <c r="V38" i="40"/>
  <c r="V40" i="40" s="1"/>
  <c r="V68" i="40" s="1"/>
  <c r="X38" i="40" l="1"/>
  <c r="X40" i="40" s="1"/>
  <c r="X68" i="40" s="1"/>
  <c r="Z38" i="40"/>
  <c r="Z40" i="40" s="1"/>
  <c r="Z68" i="40" s="1"/>
  <c r="A28" i="47"/>
  <c r="T231" i="7"/>
  <c r="H106" i="1" s="1"/>
  <c r="E85" i="1"/>
  <c r="E84" i="1"/>
  <c r="E81" i="1"/>
  <c r="A22" i="45"/>
  <c r="W20" i="45"/>
  <c r="G20" i="45"/>
  <c r="H20" i="45"/>
  <c r="I20" i="45"/>
  <c r="J20" i="45"/>
  <c r="K20" i="45"/>
  <c r="L20" i="45"/>
  <c r="M20" i="45"/>
  <c r="N20" i="45"/>
  <c r="O20" i="45"/>
  <c r="P20" i="45"/>
  <c r="Q20" i="45"/>
  <c r="R20" i="45"/>
  <c r="U18" i="45"/>
  <c r="U16" i="45"/>
  <c r="U12" i="45"/>
  <c r="H94" i="1"/>
  <c r="T61" i="7"/>
  <c r="H84" i="1" s="1"/>
  <c r="T60" i="7"/>
  <c r="H85" i="1" s="1"/>
  <c r="T59" i="7"/>
  <c r="H81" i="1" s="1"/>
  <c r="H76" i="1" l="1"/>
  <c r="U20" i="45"/>
  <c r="S20" i="45"/>
  <c r="F94" i="43"/>
  <c r="D94" i="43"/>
  <c r="H128" i="1"/>
  <c r="H99" i="1"/>
  <c r="E179" i="1"/>
  <c r="T138" i="7"/>
  <c r="H179" i="1" s="1"/>
  <c r="E124" i="1"/>
  <c r="E99" i="1"/>
  <c r="E254" i="1"/>
  <c r="E33" i="1"/>
  <c r="I18" i="43" l="1"/>
  <c r="A22" i="43"/>
  <c r="A21" i="43"/>
  <c r="A18" i="43"/>
  <c r="I15" i="14"/>
  <c r="A15" i="14"/>
  <c r="I19" i="2"/>
  <c r="I15" i="2"/>
  <c r="A15" i="2"/>
  <c r="C14" i="42"/>
  <c r="C15" i="42"/>
  <c r="C16" i="42"/>
  <c r="C17" i="42"/>
  <c r="C18" i="42"/>
  <c r="C19" i="42"/>
  <c r="C20" i="42"/>
  <c r="C21" i="42"/>
  <c r="C22" i="42"/>
  <c r="C23" i="42"/>
  <c r="C13" i="42"/>
  <c r="D30" i="5"/>
  <c r="D31" i="5" s="1"/>
  <c r="A28" i="5"/>
  <c r="A26" i="5"/>
  <c r="A21" i="5"/>
  <c r="A18" i="5"/>
  <c r="A14" i="5"/>
  <c r="E106" i="1"/>
  <c r="E108" i="1"/>
  <c r="E110" i="1"/>
  <c r="E104" i="1"/>
  <c r="E98" i="1"/>
  <c r="E94" i="1"/>
  <c r="E76" i="1"/>
  <c r="E26" i="1"/>
  <c r="E23" i="1"/>
  <c r="H220" i="1" l="1"/>
  <c r="H221" i="1"/>
  <c r="G16" i="47" l="1"/>
  <c r="G44" i="2" l="1"/>
  <c r="E235" i="1" l="1"/>
  <c r="E153" i="1"/>
  <c r="E152" i="1"/>
  <c r="E150" i="1"/>
  <c r="E149" i="1"/>
  <c r="E135" i="1"/>
  <c r="E134" i="1"/>
  <c r="E128" i="1"/>
  <c r="E127" i="1"/>
  <c r="E126" i="1"/>
  <c r="G94" i="43"/>
  <c r="E94" i="43"/>
  <c r="C94" i="43"/>
  <c r="E84" i="14"/>
  <c r="G39" i="14"/>
  <c r="E39" i="14"/>
  <c r="D39" i="14"/>
  <c r="E44" i="2"/>
  <c r="H174" i="1"/>
  <c r="F162" i="1"/>
  <c r="T40" i="7" l="1"/>
  <c r="T17" i="7" l="1"/>
  <c r="H33" i="1" s="1"/>
  <c r="A14" i="45" l="1"/>
  <c r="A16" i="45" s="1"/>
  <c r="A18" i="45" s="1"/>
  <c r="A20" i="45" s="1"/>
  <c r="L27" i="41" l="1"/>
  <c r="G27" i="41"/>
  <c r="H27" i="41"/>
  <c r="I27" i="41"/>
  <c r="J27" i="41"/>
  <c r="K27" i="41"/>
  <c r="M27" i="41"/>
  <c r="N27" i="41"/>
  <c r="O27" i="41"/>
  <c r="P27" i="41"/>
  <c r="Q27" i="41"/>
  <c r="R27" i="41"/>
  <c r="J16" i="50" l="1"/>
  <c r="S10" i="41"/>
  <c r="T143" i="7" l="1"/>
  <c r="F84" i="14" l="1"/>
  <c r="D84" i="14"/>
  <c r="E25" i="4"/>
  <c r="E24" i="4"/>
  <c r="A10" i="50" l="1"/>
  <c r="J20" i="50"/>
  <c r="A12" i="50" l="1"/>
  <c r="A14" i="50" s="1"/>
  <c r="A16" i="50" s="1"/>
  <c r="F175" i="7"/>
  <c r="E283"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K190" i="7"/>
  <c r="F74" i="49"/>
  <c r="J39" i="49" s="1"/>
  <c r="E74" i="49"/>
  <c r="I39" i="49" s="1"/>
  <c r="B3" i="49"/>
  <c r="B2" i="49"/>
  <c r="E282" i="1"/>
  <c r="F19" i="48" l="1"/>
  <c r="F23" i="48" s="1"/>
  <c r="A14" i="48"/>
  <c r="A16" i="48" l="1"/>
  <c r="F27" i="48"/>
  <c r="F21" i="48"/>
  <c r="F29" i="48" l="1"/>
  <c r="I29" i="48" s="1"/>
  <c r="H280" i="1" s="1"/>
  <c r="I27" i="48"/>
  <c r="A17" i="48"/>
  <c r="A19" i="48" s="1"/>
  <c r="Y16" i="47"/>
  <c r="W16" i="47"/>
  <c r="U16" i="47"/>
  <c r="S16" i="47"/>
  <c r="Q16" i="47"/>
  <c r="O16" i="47"/>
  <c r="M16" i="47"/>
  <c r="K16" i="47"/>
  <c r="I16" i="47"/>
  <c r="C19" i="48" l="1"/>
  <c r="A21" i="48"/>
  <c r="A23" i="48" s="1"/>
  <c r="A25" i="48" s="1"/>
  <c r="A26" i="48" s="1"/>
  <c r="A27" i="48" s="1"/>
  <c r="A29" i="48"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I65" i="43"/>
  <c r="I62" i="2" s="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6" i="43"/>
  <c r="I13" i="14"/>
  <c r="I13" i="2"/>
  <c r="E65" i="1"/>
  <c r="E62" i="1"/>
  <c r="C18" i="46" l="1"/>
  <c r="C19" i="47"/>
  <c r="A21" i="47"/>
  <c r="A23" i="47" s="1"/>
  <c r="C28" i="47" s="1"/>
  <c r="J194" i="7"/>
  <c r="J195" i="7" s="1"/>
  <c r="C23" i="47" l="1"/>
  <c r="G46" i="43"/>
  <c r="E46" i="43"/>
  <c r="E76" i="14" l="1"/>
  <c r="F76" i="14"/>
  <c r="G76" i="14"/>
  <c r="B2" i="38" l="1"/>
  <c r="E185" i="1" l="1"/>
  <c r="E186" i="1"/>
  <c r="T144" i="7"/>
  <c r="H185" i="1" s="1"/>
  <c r="T145" i="7"/>
  <c r="H186" i="1" s="1"/>
  <c r="A13" i="4" l="1"/>
  <c r="G89" i="2"/>
  <c r="D67" i="43"/>
  <c r="G67" i="43"/>
  <c r="F13" i="43" s="1"/>
  <c r="F67" i="43"/>
  <c r="E13" i="43" s="1"/>
  <c r="C67" i="43"/>
  <c r="B59" i="43"/>
  <c r="B58" i="43"/>
  <c r="B57" i="43"/>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E67" i="43" l="1"/>
  <c r="D13" i="43" s="1"/>
  <c r="I28" i="44"/>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J11" i="42" s="1"/>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I18" i="2" s="1"/>
  <c r="G13" i="4"/>
  <c r="G14" i="4"/>
  <c r="A14" i="4"/>
  <c r="A15" i="4" l="1"/>
  <c r="A19" i="4" s="1"/>
  <c r="A20" i="4" s="1"/>
  <c r="A24" i="4" s="1"/>
  <c r="G12" i="4"/>
  <c r="E15" i="4"/>
  <c r="I46" i="43"/>
  <c r="I39" i="14"/>
  <c r="F222" i="1"/>
  <c r="G15" i="4" l="1"/>
  <c r="D37" i="5" l="1"/>
  <c r="D33" i="5" s="1"/>
  <c r="T140" i="7" l="1"/>
  <c r="H181" i="1" s="1"/>
  <c r="T141" i="7"/>
  <c r="H182" i="1" s="1"/>
  <c r="E181" i="1"/>
  <c r="E182" i="1"/>
  <c r="E279" i="1" l="1"/>
  <c r="F74" i="8"/>
  <c r="J39" i="8" s="1"/>
  <c r="G96" i="43" l="1"/>
  <c r="E96" i="43"/>
  <c r="D96" i="43"/>
  <c r="C96" i="43"/>
  <c r="G95" i="43"/>
  <c r="G97" i="43" s="1"/>
  <c r="E95" i="43"/>
  <c r="D95" i="43"/>
  <c r="C95" i="43"/>
  <c r="F95" i="43"/>
  <c r="F96" i="43"/>
  <c r="D46" i="43"/>
  <c r="E45" i="43"/>
  <c r="E47" i="43" s="1"/>
  <c r="C45" i="43"/>
  <c r="D45" i="43"/>
  <c r="F46" i="43"/>
  <c r="G45" i="43"/>
  <c r="G47" i="43" s="1"/>
  <c r="A12" i="43"/>
  <c r="A10" i="14"/>
  <c r="G86" i="14"/>
  <c r="E86" i="14"/>
  <c r="D86" i="14"/>
  <c r="C86" i="14"/>
  <c r="G85" i="14"/>
  <c r="E85" i="14"/>
  <c r="D85" i="14"/>
  <c r="C85" i="14"/>
  <c r="F85" i="14"/>
  <c r="F86" i="14"/>
  <c r="E38" i="14"/>
  <c r="E40" i="14" s="1"/>
  <c r="D38" i="14"/>
  <c r="A10" i="2"/>
  <c r="C46" i="43" l="1"/>
  <c r="C47" i="43" s="1"/>
  <c r="D47" i="43"/>
  <c r="A13" i="43"/>
  <c r="A14" i="43" s="1"/>
  <c r="A15" i="43" s="1"/>
  <c r="C97" i="43"/>
  <c r="A15" i="5"/>
  <c r="A16" i="5" s="1"/>
  <c r="A17" i="5" s="1"/>
  <c r="A22" i="5" s="1"/>
  <c r="D40" i="14"/>
  <c r="A11" i="14"/>
  <c r="A12" i="14" s="1"/>
  <c r="I12" i="14"/>
  <c r="E97" i="43"/>
  <c r="F45" i="43"/>
  <c r="F47" i="43" s="1"/>
  <c r="A11" i="2"/>
  <c r="A12" i="2" s="1"/>
  <c r="I12" i="2"/>
  <c r="F97" i="43"/>
  <c r="D97" i="43"/>
  <c r="E87" i="14"/>
  <c r="F87" i="14"/>
  <c r="G40" i="14"/>
  <c r="I15" i="43" l="1"/>
  <c r="A13" i="14"/>
  <c r="A14" i="14" s="1"/>
  <c r="A26" i="14" s="1"/>
  <c r="A27" i="14" s="1"/>
  <c r="A28" i="14" s="1"/>
  <c r="A29" i="14" s="1"/>
  <c r="A30" i="14" s="1"/>
  <c r="A31" i="14" s="1"/>
  <c r="A32" i="14" s="1"/>
  <c r="A33" i="14" s="1"/>
  <c r="A34" i="14" s="1"/>
  <c r="A35" i="14" s="1"/>
  <c r="A36" i="14" s="1"/>
  <c r="A37" i="14" s="1"/>
  <c r="A38" i="14" s="1"/>
  <c r="A39" i="14" s="1"/>
  <c r="A40" i="14" s="1"/>
  <c r="A16" i="43"/>
  <c r="A13" i="2"/>
  <c r="A14" i="2" s="1"/>
  <c r="I16" i="2" s="1"/>
  <c r="B79" i="43"/>
  <c r="B78" i="43"/>
  <c r="B80" i="43"/>
  <c r="I3" i="44"/>
  <c r="I2" i="44"/>
  <c r="D12" i="43"/>
  <c r="B1" i="2"/>
  <c r="A17" i="43" l="1"/>
  <c r="I19" i="43" s="1"/>
  <c r="A59" i="14"/>
  <c r="A60" i="14" s="1"/>
  <c r="A61" i="14" s="1"/>
  <c r="I9" i="14"/>
  <c r="A16" i="2"/>
  <c r="A17" i="2" s="1"/>
  <c r="A18" i="2" s="1"/>
  <c r="A19" i="2" s="1"/>
  <c r="A16" i="44"/>
  <c r="A17" i="44" s="1"/>
  <c r="A18" i="44" s="1"/>
  <c r="A19" i="44" s="1"/>
  <c r="A20" i="44" s="1"/>
  <c r="A21" i="44" s="1"/>
  <c r="A22" i="44" s="1"/>
  <c r="A23" i="44" s="1"/>
  <c r="A24" i="44" s="1"/>
  <c r="A25" i="44" s="1"/>
  <c r="A26" i="44" s="1"/>
  <c r="A27" i="44" s="1"/>
  <c r="F14" i="43"/>
  <c r="D14" i="43"/>
  <c r="D15" i="43" s="1"/>
  <c r="F12" i="43"/>
  <c r="E12" i="43"/>
  <c r="A19" i="43" l="1"/>
  <c r="A20" i="43" s="1"/>
  <c r="A33" i="43" s="1"/>
  <c r="A34" i="43" s="1"/>
  <c r="A35" i="43" s="1"/>
  <c r="A36" i="43" s="1"/>
  <c r="A37" i="43" s="1"/>
  <c r="A38" i="43" s="1"/>
  <c r="A39" i="43" s="1"/>
  <c r="A40" i="43" s="1"/>
  <c r="A41" i="43" s="1"/>
  <c r="A42" i="43" s="1"/>
  <c r="A43" i="43" s="1"/>
  <c r="F15" i="43"/>
  <c r="I20" i="43"/>
  <c r="D18" i="43"/>
  <c r="A28" i="44"/>
  <c r="A34" i="44" s="1"/>
  <c r="A35" i="44" s="1"/>
  <c r="A36" i="44" s="1"/>
  <c r="A37" i="44" s="1"/>
  <c r="A38" i="44" s="1"/>
  <c r="A39" i="44" s="1"/>
  <c r="A40" i="44" s="1"/>
  <c r="A41" i="44" s="1"/>
  <c r="A42" i="44" s="1"/>
  <c r="A43" i="44" s="1"/>
  <c r="A44" i="44" s="1"/>
  <c r="A45" i="44" s="1"/>
  <c r="I21" i="43"/>
  <c r="A77" i="14"/>
  <c r="A78" i="14" s="1"/>
  <c r="A79" i="14" s="1"/>
  <c r="A80" i="14" s="1"/>
  <c r="A81" i="14" s="1"/>
  <c r="A82" i="14" s="1"/>
  <c r="A83" i="14" s="1"/>
  <c r="A84" i="14" s="1"/>
  <c r="A85" i="14" s="1"/>
  <c r="A86" i="14" s="1"/>
  <c r="A87" i="14" s="1"/>
  <c r="I11" i="14" s="1"/>
  <c r="I10" i="14"/>
  <c r="E14" i="43"/>
  <c r="E15" i="43" s="1"/>
  <c r="A31" i="2" l="1"/>
  <c r="A32" i="2" s="1"/>
  <c r="A33" i="2" s="1"/>
  <c r="A34" i="2" s="1"/>
  <c r="A35" i="2" s="1"/>
  <c r="A36" i="2" s="1"/>
  <c r="A37" i="2" s="1"/>
  <c r="A38" i="2" s="1"/>
  <c r="A39" i="2" s="1"/>
  <c r="A40" i="2" s="1"/>
  <c r="A41" i="2" s="1"/>
  <c r="A42" i="2" s="1"/>
  <c r="A43" i="2" s="1"/>
  <c r="A44" i="2" s="1"/>
  <c r="A45" i="2" s="1"/>
  <c r="A44" i="43"/>
  <c r="A45" i="43" s="1"/>
  <c r="A46" i="43" s="1"/>
  <c r="A47" i="43" s="1"/>
  <c r="A65" i="43" s="1"/>
  <c r="A66" i="43" s="1"/>
  <c r="A67" i="43" s="1"/>
  <c r="I13" i="43" s="1"/>
  <c r="A87" i="43" l="1"/>
  <c r="A88" i="43" s="1"/>
  <c r="A89" i="43" s="1"/>
  <c r="A90" i="43" s="1"/>
  <c r="A91" i="43" s="1"/>
  <c r="A92" i="43" s="1"/>
  <c r="A93" i="43" s="1"/>
  <c r="A94" i="43" s="1"/>
  <c r="A95" i="43" s="1"/>
  <c r="A96" i="43" s="1"/>
  <c r="A97" i="43" s="1"/>
  <c r="I14" i="43" s="1"/>
  <c r="I12" i="43"/>
  <c r="A62" i="2"/>
  <c r="I9" i="2"/>
  <c r="A63" i="2" l="1"/>
  <c r="A64" i="2" s="1"/>
  <c r="I10" i="2" s="1"/>
  <c r="A82" i="2"/>
  <c r="A83" i="2" s="1"/>
  <c r="A84" i="2" s="1"/>
  <c r="A85" i="2" s="1"/>
  <c r="A86" i="2" s="1"/>
  <c r="A87" i="2" s="1"/>
  <c r="A88" i="2" s="1"/>
  <c r="A89" i="2" s="1"/>
  <c r="A90" i="2" s="1"/>
  <c r="A91" i="2" s="1"/>
  <c r="A92" i="2" s="1"/>
  <c r="I11" i="2" s="1"/>
  <c r="B53" i="14" l="1"/>
  <c r="E91" i="2"/>
  <c r="G91" i="2"/>
  <c r="D91" i="2"/>
  <c r="C91" i="2"/>
  <c r="F101" i="1" l="1"/>
  <c r="F82" i="1"/>
  <c r="H108" i="1"/>
  <c r="H98" i="1"/>
  <c r="H104" i="1"/>
  <c r="H100" i="1" l="1"/>
  <c r="E74" i="8" l="1"/>
  <c r="I39" i="8" s="1"/>
  <c r="I40" i="8" s="1"/>
  <c r="T203" i="7" l="1"/>
  <c r="H65" i="1" s="1"/>
  <c r="H68" i="1" l="1"/>
  <c r="A11" i="41"/>
  <c r="F2" i="41"/>
  <c r="F1" i="41"/>
  <c r="B3" i="8"/>
  <c r="B2" i="8"/>
  <c r="I3" i="40"/>
  <c r="B2" i="51" s="1"/>
  <c r="I2" i="40"/>
  <c r="B1" i="51" s="1"/>
  <c r="A2" i="7"/>
  <c r="B2" i="14"/>
  <c r="B52" i="14" s="1"/>
  <c r="B71" i="14" s="1"/>
  <c r="B55" i="2"/>
  <c r="B76" i="2" s="1"/>
  <c r="A12" i="41" l="1"/>
  <c r="A13" i="41" s="1"/>
  <c r="A14" i="41" s="1"/>
  <c r="A15" i="41" s="1"/>
  <c r="A16" i="41" s="1"/>
  <c r="A17" i="41" s="1"/>
  <c r="A18" i="41" s="1"/>
  <c r="A19" i="41" s="1"/>
  <c r="A20" i="41" s="1"/>
  <c r="B1" i="45"/>
  <c r="A1" i="48"/>
  <c r="B2" i="45"/>
  <c r="A2" i="48"/>
  <c r="B89" i="14"/>
  <c r="B72" i="14"/>
  <c r="G61" i="14"/>
  <c r="F10" i="14" s="1"/>
  <c r="F61" i="14"/>
  <c r="E10" i="14" s="1"/>
  <c r="D61" i="14"/>
  <c r="D58" i="14"/>
  <c r="D76" i="14" s="1"/>
  <c r="D87" i="14" s="1"/>
  <c r="D9" i="14"/>
  <c r="B95" i="2"/>
  <c r="B100" i="43" s="1"/>
  <c r="D90" i="2"/>
  <c r="E90" i="2"/>
  <c r="G90" i="2"/>
  <c r="G92" i="2" s="1"/>
  <c r="F11" i="2" s="1"/>
  <c r="C90" i="2"/>
  <c r="F90" i="2"/>
  <c r="F91" i="2"/>
  <c r="D64" i="2"/>
  <c r="D61" i="2"/>
  <c r="D81" i="2" s="1"/>
  <c r="A21" i="41" l="1"/>
  <c r="A22" i="41" s="1"/>
  <c r="A23" i="41" s="1"/>
  <c r="A24" i="41" s="1"/>
  <c r="A27" i="41" s="1"/>
  <c r="F68" i="1" s="1"/>
  <c r="D11" i="14"/>
  <c r="E11" i="14"/>
  <c r="F9" i="14"/>
  <c r="B1" i="14" l="1"/>
  <c r="A10" i="7"/>
  <c r="A11" i="7" s="1"/>
  <c r="F20" i="1" s="1"/>
  <c r="E174" i="1"/>
  <c r="E50" i="1"/>
  <c r="E48" i="1"/>
  <c r="E46" i="1"/>
  <c r="E20" i="1"/>
  <c r="H229" i="1"/>
  <c r="H213" i="1"/>
  <c r="A12" i="7" l="1"/>
  <c r="F49" i="1" s="1"/>
  <c r="B70" i="14"/>
  <c r="B51" i="14"/>
  <c r="H169" i="1"/>
  <c r="A13" i="7" l="1"/>
  <c r="A14" i="7" s="1"/>
  <c r="A17" i="7" s="1"/>
  <c r="F33" i="1" s="1"/>
  <c r="H10" i="1"/>
  <c r="H12" i="1"/>
  <c r="H13" i="1"/>
  <c r="A18" i="7" l="1"/>
  <c r="F35" i="1" s="1"/>
  <c r="T20" i="7"/>
  <c r="T19" i="7"/>
  <c r="H36" i="1" s="1"/>
  <c r="H273" i="1"/>
  <c r="T10" i="7"/>
  <c r="T13" i="7"/>
  <c r="T14" i="7"/>
  <c r="A19" i="7" l="1"/>
  <c r="F36" i="1" s="1"/>
  <c r="H49" i="1"/>
  <c r="E43" i="2"/>
  <c r="E45" i="2" s="1"/>
  <c r="D9" i="2" s="1"/>
  <c r="D44" i="2"/>
  <c r="A20" i="7" l="1"/>
  <c r="F37" i="1" s="1"/>
  <c r="E89" i="2"/>
  <c r="E92" i="2" s="1"/>
  <c r="A23" i="7" l="1"/>
  <c r="F46" i="1" s="1"/>
  <c r="D11" i="2"/>
  <c r="A24" i="7" l="1"/>
  <c r="F48" i="1" s="1"/>
  <c r="A25" i="7" l="1"/>
  <c r="F50" i="1" s="1"/>
  <c r="H258" i="1"/>
  <c r="H124" i="1"/>
  <c r="H37" i="1"/>
  <c r="H50" i="1"/>
  <c r="F89" i="2"/>
  <c r="F92" i="2" s="1"/>
  <c r="E11" i="2" s="1"/>
  <c r="H194" i="7"/>
  <c r="T139" i="7"/>
  <c r="H180" i="1" s="1"/>
  <c r="T142" i="7"/>
  <c r="H183" i="1" s="1"/>
  <c r="H191" i="1"/>
  <c r="T135" i="7"/>
  <c r="H173" i="1" s="1"/>
  <c r="T136" i="7"/>
  <c r="H175" i="1" s="1"/>
  <c r="H212" i="1"/>
  <c r="H283" i="1"/>
  <c r="D89" i="2"/>
  <c r="D92" i="2" s="1"/>
  <c r="B77" i="2"/>
  <c r="B75" i="2"/>
  <c r="B56" i="2"/>
  <c r="B54"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29" i="1"/>
  <c r="H136" i="1"/>
  <c r="H257" i="1"/>
  <c r="H14" i="1"/>
  <c r="C92" i="2"/>
  <c r="H217" i="1" l="1"/>
  <c r="H230" i="1"/>
  <c r="I17" i="46"/>
  <c r="H231" i="1"/>
  <c r="M17" i="46"/>
  <c r="Y17" i="46"/>
  <c r="F21" i="1"/>
  <c r="H184" i="1"/>
  <c r="A14" i="1"/>
  <c r="F16" i="1" s="1"/>
  <c r="H16" i="1"/>
  <c r="H259" i="1"/>
  <c r="H216" i="1"/>
  <c r="O17" i="46" l="1"/>
  <c r="H225" i="1"/>
  <c r="K17" i="46"/>
  <c r="U17" i="46"/>
  <c r="H236" i="1"/>
  <c r="W17" i="46"/>
  <c r="S17" i="46"/>
  <c r="G17" i="46"/>
  <c r="Q17" i="46"/>
  <c r="H232" i="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2" i="1"/>
  <c r="J44" i="44"/>
  <c r="L44" i="44" s="1"/>
  <c r="J42" i="44"/>
  <c r="L42" i="44" s="1"/>
  <c r="J40" i="44"/>
  <c r="L40" i="44" s="1"/>
  <c r="J38" i="44"/>
  <c r="L38" i="44" s="1"/>
  <c r="J36" i="44"/>
  <c r="L36" i="44" s="1"/>
  <c r="J34" i="44"/>
  <c r="J43" i="44"/>
  <c r="L43" i="44" s="1"/>
  <c r="J37" i="44"/>
  <c r="L37" i="44" s="1"/>
  <c r="J45" i="44"/>
  <c r="L45" i="44" s="1"/>
  <c r="J41" i="44"/>
  <c r="L41" i="44" s="1"/>
  <c r="J39" i="44"/>
  <c r="L39" i="44" s="1"/>
  <c r="J35" i="44"/>
  <c r="L35" i="44" s="1"/>
  <c r="F13" i="2"/>
  <c r="F16" i="43"/>
  <c r="F18" i="43" s="1"/>
  <c r="G64" i="2"/>
  <c r="F10" i="2" s="1"/>
  <c r="F13" i="14"/>
  <c r="H101" i="1"/>
  <c r="H155" i="1"/>
  <c r="H52" i="1"/>
  <c r="H82" i="1"/>
  <c r="F27" i="4"/>
  <c r="H39" i="1"/>
  <c r="H130" i="1"/>
  <c r="H260" i="1"/>
  <c r="H237" i="1" l="1"/>
  <c r="L34" i="44"/>
  <c r="V34" i="44"/>
  <c r="W36" i="44" s="1"/>
  <c r="H102" i="1"/>
  <c r="H223" i="1"/>
  <c r="H78" i="1"/>
  <c r="R24" i="42"/>
  <c r="F18" i="2" s="1"/>
  <c r="H131" i="1"/>
  <c r="H83" i="1"/>
  <c r="Q15" i="44" l="1"/>
  <c r="J16" i="44"/>
  <c r="J17" i="44" s="1"/>
  <c r="J18" i="44" s="1"/>
  <c r="J19" i="44" s="1"/>
  <c r="J20" i="44" s="1"/>
  <c r="J21" i="44" s="1"/>
  <c r="J22" i="44" s="1"/>
  <c r="J23" i="44" s="1"/>
  <c r="J24" i="44" s="1"/>
  <c r="J25" i="44" s="1"/>
  <c r="J26" i="44" s="1"/>
  <c r="J27" i="44" s="1"/>
  <c r="H224" i="1"/>
  <c r="H86" i="1"/>
  <c r="A23" i="1"/>
  <c r="F24" i="1" s="1"/>
  <c r="H226" i="1" l="1"/>
  <c r="A24" i="1"/>
  <c r="A26" i="1" s="1"/>
  <c r="F64" i="2" l="1"/>
  <c r="E10" i="2" s="1"/>
  <c r="A27" i="1"/>
  <c r="A33" i="1" s="1"/>
  <c r="F27" i="1"/>
  <c r="I17" i="43" l="1"/>
  <c r="I14" i="2"/>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4" i="1" l="1"/>
  <c r="F288" i="1"/>
  <c r="F290" i="1"/>
  <c r="A290" i="1"/>
  <c r="A291" i="1" l="1"/>
  <c r="A292" i="1" s="1"/>
  <c r="A293" i="1" s="1"/>
  <c r="A294" i="1" s="1"/>
  <c r="F292" i="1"/>
  <c r="F291" i="1"/>
  <c r="F293" i="1" l="1"/>
  <c r="F294" i="1"/>
  <c r="A23" i="5" l="1"/>
  <c r="A24" i="5" s="1"/>
  <c r="A25" i="5" s="1"/>
  <c r="A29" i="5" l="1"/>
  <c r="A30" i="5" s="1"/>
  <c r="C31" i="5" s="1"/>
  <c r="C36" i="5"/>
  <c r="A31" i="5" l="1"/>
  <c r="A33" i="5" l="1"/>
  <c r="A34" i="5" s="1"/>
  <c r="A134" i="7"/>
  <c r="F172" i="1" s="1"/>
  <c r="C34" i="5" l="1"/>
  <c r="A36" i="5"/>
  <c r="C37" i="5" s="1"/>
  <c r="F265"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A222" i="7"/>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E27" i="4" l="1"/>
  <c r="E29" i="4" l="1"/>
  <c r="E43" i="4" s="1"/>
  <c r="E47" i="4" s="1"/>
  <c r="G27" i="4"/>
  <c r="T18" i="7" l="1"/>
  <c r="H35" i="1" s="1"/>
  <c r="H38" i="1" l="1"/>
  <c r="H154" i="1"/>
  <c r="T24" i="7"/>
  <c r="H48" i="1" s="1"/>
  <c r="H51" i="1" l="1"/>
  <c r="H156" i="1"/>
  <c r="H40" i="1"/>
  <c r="H158" i="1" l="1"/>
  <c r="H42" i="1"/>
  <c r="H53" i="1"/>
  <c r="T9" i="7"/>
  <c r="H19" i="1" s="1"/>
  <c r="H23" i="1" l="1"/>
  <c r="H55" i="1"/>
  <c r="H249" i="1"/>
  <c r="T11" i="7"/>
  <c r="H20" i="1" s="1"/>
  <c r="H24" i="1" l="1"/>
  <c r="H21" i="1"/>
  <c r="H57" i="1"/>
  <c r="W10" i="45" l="1"/>
  <c r="H26" i="1"/>
  <c r="H244" i="1"/>
  <c r="H27" i="1" l="1"/>
  <c r="F34" i="44" l="1"/>
  <c r="G34" i="44" s="1"/>
  <c r="N34" i="44" s="1"/>
  <c r="L15" i="42"/>
  <c r="M15" i="42" s="1"/>
  <c r="N15" i="42" s="1"/>
  <c r="L14" i="42"/>
  <c r="M14" i="42" s="1"/>
  <c r="N14" i="42" s="1"/>
  <c r="L22" i="42"/>
  <c r="M22" i="42" s="1"/>
  <c r="N22" i="42" s="1"/>
  <c r="F43" i="44"/>
  <c r="G43" i="44" s="1"/>
  <c r="F38" i="44"/>
  <c r="G38" i="44" s="1"/>
  <c r="E14" i="2"/>
  <c r="F37" i="44"/>
  <c r="G37" i="44" s="1"/>
  <c r="L11" i="42"/>
  <c r="M11" i="42" s="1"/>
  <c r="N11" i="42" s="1"/>
  <c r="E17" i="43"/>
  <c r="E18" i="43" s="1"/>
  <c r="F44" i="44"/>
  <c r="G44" i="44" s="1"/>
  <c r="L19" i="42"/>
  <c r="M19" i="42" s="1"/>
  <c r="N19" i="42" s="1"/>
  <c r="L12" i="42"/>
  <c r="M12" i="42" s="1"/>
  <c r="N12" i="42" s="1"/>
  <c r="F35" i="44"/>
  <c r="G35" i="44" s="1"/>
  <c r="F36" i="44"/>
  <c r="G36" i="44" s="1"/>
  <c r="L21" i="42"/>
  <c r="M21" i="42" s="1"/>
  <c r="N21" i="42" s="1"/>
  <c r="L17" i="42"/>
  <c r="M17" i="42" s="1"/>
  <c r="N17" i="42" s="1"/>
  <c r="L23" i="42"/>
  <c r="M23" i="42" s="1"/>
  <c r="N23" i="42" s="1"/>
  <c r="L18" i="42"/>
  <c r="M18" i="42" s="1"/>
  <c r="N18" i="42" s="1"/>
  <c r="F20" i="4"/>
  <c r="G20" i="4" s="1"/>
  <c r="G29" i="4" s="1"/>
  <c r="H162" i="1" s="1"/>
  <c r="F41" i="44"/>
  <c r="G41" i="44" s="1"/>
  <c r="H95" i="1"/>
  <c r="E14" i="14"/>
  <c r="L16" i="42"/>
  <c r="M16" i="42" s="1"/>
  <c r="N16" i="42" s="1"/>
  <c r="F39" i="44"/>
  <c r="G39" i="44" s="1"/>
  <c r="H139" i="1"/>
  <c r="L20" i="42"/>
  <c r="M20" i="42" s="1"/>
  <c r="N20" i="42" s="1"/>
  <c r="F42" i="44"/>
  <c r="G42" i="44" s="1"/>
  <c r="L13" i="42"/>
  <c r="M13" i="42" s="1"/>
  <c r="N13" i="42" s="1"/>
  <c r="F45" i="44"/>
  <c r="G45" i="44" s="1"/>
  <c r="F40" i="44"/>
  <c r="G40" i="44" s="1"/>
  <c r="T137" i="7"/>
  <c r="H178" i="1" s="1"/>
  <c r="H96" i="1" l="1"/>
  <c r="H18" i="42"/>
  <c r="S18" i="42"/>
  <c r="S14" i="42"/>
  <c r="H14" i="42"/>
  <c r="H20" i="42"/>
  <c r="S20" i="42"/>
  <c r="H190" i="1"/>
  <c r="H140" i="1"/>
  <c r="S23" i="42"/>
  <c r="H23" i="42"/>
  <c r="S15" i="42"/>
  <c r="H15" i="42"/>
  <c r="H13" i="42"/>
  <c r="S13" i="42"/>
  <c r="S17" i="42"/>
  <c r="H17" i="42"/>
  <c r="S11" i="42"/>
  <c r="H11" i="42"/>
  <c r="N24" i="42"/>
  <c r="E18" i="2" s="1"/>
  <c r="S16" i="42"/>
  <c r="H16" i="42"/>
  <c r="H164" i="1"/>
  <c r="H21" i="42"/>
  <c r="S21" i="42"/>
  <c r="S19" i="42"/>
  <c r="H19" i="42"/>
  <c r="S22" i="42"/>
  <c r="H22" i="42"/>
  <c r="H187" i="1"/>
  <c r="S132" i="7"/>
  <c r="H167" i="1" s="1"/>
  <c r="H142" i="1" l="1"/>
  <c r="H250" i="1"/>
  <c r="H199" i="1"/>
  <c r="N36" i="44"/>
  <c r="L18" i="44" s="1"/>
  <c r="N45" i="44"/>
  <c r="L27" i="44" s="1"/>
  <c r="L16" i="44"/>
  <c r="N35" i="44"/>
  <c r="L17" i="44" s="1"/>
  <c r="N37" i="44"/>
  <c r="L19" i="44" s="1"/>
  <c r="N39" i="44"/>
  <c r="L21" i="44" s="1"/>
  <c r="N42" i="44"/>
  <c r="L24" i="44" s="1"/>
  <c r="N40" i="44"/>
  <c r="L22" i="44" s="1"/>
  <c r="N44" i="44"/>
  <c r="L26" i="44" s="1"/>
  <c r="N38" i="44"/>
  <c r="L20" i="44" s="1"/>
  <c r="N41" i="44"/>
  <c r="L23" i="44" s="1"/>
  <c r="N43" i="44"/>
  <c r="L25" i="44" s="1"/>
  <c r="L28" i="44" l="1"/>
  <c r="P16" i="44"/>
  <c r="M16" i="44"/>
  <c r="O16" i="44" s="1"/>
  <c r="M26" i="44"/>
  <c r="O26" i="44" s="1"/>
  <c r="P26" i="44"/>
  <c r="P17" i="44"/>
  <c r="M17" i="44"/>
  <c r="O17" i="44" s="1"/>
  <c r="M22" i="44"/>
  <c r="O22" i="44" s="1"/>
  <c r="P22" i="44"/>
  <c r="M21" i="44"/>
  <c r="N21" i="44" s="1"/>
  <c r="P21" i="44"/>
  <c r="P25" i="44"/>
  <c r="M25" i="44"/>
  <c r="N25" i="44" s="1"/>
  <c r="M24" i="44"/>
  <c r="O24" i="44" s="1"/>
  <c r="P24" i="44"/>
  <c r="H18" i="43"/>
  <c r="M27" i="44"/>
  <c r="O27" i="44" s="1"/>
  <c r="P27" i="44"/>
  <c r="M23" i="44"/>
  <c r="N23" i="44" s="1"/>
  <c r="P23" i="44"/>
  <c r="M20" i="44"/>
  <c r="N20" i="44" s="1"/>
  <c r="P20" i="44"/>
  <c r="P19" i="44"/>
  <c r="M19" i="44"/>
  <c r="O19" i="44" s="1"/>
  <c r="M18" i="44"/>
  <c r="N18" i="44" s="1"/>
  <c r="P18" i="44"/>
  <c r="N16" i="44" l="1"/>
  <c r="Q16" i="44" s="1"/>
  <c r="N26" i="44"/>
  <c r="N27" i="44"/>
  <c r="O23" i="44"/>
  <c r="N17" i="44"/>
  <c r="O21" i="44"/>
  <c r="N19" i="44"/>
  <c r="P28" i="44"/>
  <c r="O18" i="44"/>
  <c r="O25" i="44"/>
  <c r="O20" i="44"/>
  <c r="N24" i="44"/>
  <c r="N22" i="44"/>
  <c r="M28" i="44"/>
  <c r="Q17" i="44" l="1"/>
  <c r="Q18" i="44" s="1"/>
  <c r="N28" i="44"/>
  <c r="O28" i="44"/>
  <c r="Q19" i="44" l="1"/>
  <c r="Q20" i="44" s="1"/>
  <c r="Q21" i="44" s="1"/>
  <c r="Q22" i="44" s="1"/>
  <c r="Q23" i="44" s="1"/>
  <c r="Q24" i="44" s="1"/>
  <c r="Q25" i="44" s="1"/>
  <c r="Q26" i="44" s="1"/>
  <c r="H119" i="1"/>
  <c r="Q27" i="44" l="1"/>
  <c r="H120" i="1"/>
  <c r="C62" i="2" l="1"/>
  <c r="C64" i="2" s="1"/>
  <c r="H121" i="1"/>
  <c r="H144" i="1" l="1"/>
  <c r="T134" i="7"/>
  <c r="H172" i="1" s="1"/>
  <c r="H176" i="1" l="1"/>
  <c r="H248" i="1"/>
  <c r="H89" i="1"/>
  <c r="H91" i="1" l="1"/>
  <c r="H192" i="1"/>
  <c r="H193" i="1" l="1"/>
  <c r="H197" i="1" l="1"/>
  <c r="H195" i="1"/>
  <c r="H196" i="1"/>
  <c r="M16" i="46"/>
  <c r="M18" i="46" s="1"/>
  <c r="E64" i="2"/>
  <c r="D10" i="2" s="1"/>
  <c r="D12" i="2" s="1"/>
  <c r="D15" i="2" s="1"/>
  <c r="O16" i="46" l="1"/>
  <c r="O18" i="46" s="1"/>
  <c r="K16" i="46"/>
  <c r="K18" i="46" s="1"/>
  <c r="U16" i="46"/>
  <c r="U18" i="46" s="1"/>
  <c r="H205" i="1"/>
  <c r="I16" i="46"/>
  <c r="I18" i="46" s="1"/>
  <c r="W16" i="46"/>
  <c r="W18" i="46" s="1"/>
  <c r="Q16" i="46"/>
  <c r="Q18" i="46" s="1"/>
  <c r="S16" i="46"/>
  <c r="S18" i="46" s="1"/>
  <c r="Y16" i="46"/>
  <c r="Y18" i="46" s="1"/>
  <c r="G16" i="46"/>
  <c r="G18" i="46" s="1"/>
  <c r="H203" i="1"/>
  <c r="H204" i="1"/>
  <c r="E18" i="46" l="1"/>
  <c r="H281" i="1" s="1"/>
  <c r="H206" i="1"/>
  <c r="D34" i="5" l="1"/>
  <c r="H265" i="1" s="1"/>
  <c r="J12" i="42" l="1"/>
  <c r="J24" i="42" s="1"/>
  <c r="I24" i="42"/>
  <c r="H24" i="42" l="1"/>
  <c r="D18" i="2"/>
  <c r="S24" i="42"/>
  <c r="H18" i="2" s="1"/>
  <c r="H12" i="42"/>
  <c r="S12" i="42"/>
  <c r="C61" i="14" l="1"/>
  <c r="E61" i="14"/>
  <c r="D10" i="14" s="1"/>
  <c r="D12" i="14" s="1"/>
  <c r="D15" i="14" s="1"/>
  <c r="D16" i="2" l="1"/>
  <c r="D17" i="2" s="1"/>
  <c r="D20" i="43" l="1"/>
  <c r="D19" i="2" l="1"/>
  <c r="C34" i="2" l="1"/>
  <c r="F44" i="2"/>
  <c r="C44" i="2" s="1"/>
  <c r="C36" i="2"/>
  <c r="C37" i="2"/>
  <c r="G43" i="2"/>
  <c r="G45" i="2" s="1"/>
  <c r="F9" i="2" s="1"/>
  <c r="F12" i="2" s="1"/>
  <c r="F15" i="2" s="1"/>
  <c r="C38" i="2"/>
  <c r="C39" i="2"/>
  <c r="F43" i="2"/>
  <c r="F45" i="2" s="1"/>
  <c r="E9" i="2" s="1"/>
  <c r="E12" i="2" s="1"/>
  <c r="E15" i="2" s="1"/>
  <c r="H15" i="2" l="1"/>
  <c r="C40" i="2" l="1"/>
  <c r="C41" i="2"/>
  <c r="D43" i="2"/>
  <c r="D45" i="2" s="1"/>
  <c r="C45" i="2"/>
  <c r="F38" i="14"/>
  <c r="F40" i="14" s="1"/>
  <c r="E9" i="14" s="1"/>
  <c r="E12" i="14" s="1"/>
  <c r="E15" i="14" s="1"/>
  <c r="C29" i="14"/>
  <c r="C40" i="14" s="1"/>
  <c r="F39" i="14"/>
  <c r="C39" i="14" s="1"/>
  <c r="E16" i="2" l="1"/>
  <c r="E17" i="2" l="1"/>
  <c r="E20" i="43"/>
  <c r="E19" i="2" l="1"/>
  <c r="C84" i="14" l="1"/>
  <c r="C87" i="14" s="1"/>
  <c r="G84" i="14"/>
  <c r="G87" i="14" s="1"/>
  <c r="F11" i="14" s="1"/>
  <c r="F12" i="14" s="1"/>
  <c r="F15" i="14" s="1"/>
  <c r="F16" i="2" l="1"/>
  <c r="H15" i="14"/>
  <c r="F20" i="43" l="1"/>
  <c r="H20" i="43" s="1"/>
  <c r="H22" i="43" s="1"/>
  <c r="H19" i="43"/>
  <c r="H16" i="2"/>
  <c r="F17" i="2"/>
  <c r="H17" i="2" l="1"/>
  <c r="H19" i="2" s="1"/>
  <c r="H62" i="1" s="1"/>
  <c r="F19" i="2"/>
  <c r="H112" i="1" l="1"/>
  <c r="H114" i="1" l="1"/>
  <c r="H245" i="1"/>
  <c r="H238" i="1"/>
  <c r="H208" i="1"/>
  <c r="H246" i="1" l="1"/>
  <c r="H251" i="1"/>
  <c r="H239" i="1"/>
  <c r="H252" i="1" l="1"/>
  <c r="H254" i="1" l="1"/>
  <c r="H261" i="1" l="1"/>
  <c r="H272" i="1"/>
  <c r="H262" i="1" l="1"/>
  <c r="H274" i="1"/>
  <c r="H275" i="1"/>
  <c r="H276" i="1"/>
  <c r="H267" i="1" l="1"/>
  <c r="I14" i="47"/>
  <c r="I15" i="47" s="1"/>
  <c r="I19" i="47" s="1"/>
  <c r="M14" i="47"/>
  <c r="M15" i="47" s="1"/>
  <c r="M19" i="47" s="1"/>
  <c r="O14" i="47"/>
  <c r="O15" i="47" s="1"/>
  <c r="O19" i="47" s="1"/>
  <c r="S14" i="47"/>
  <c r="S15" i="47" s="1"/>
  <c r="S19" i="47" s="1"/>
  <c r="Q14" i="47"/>
  <c r="Q15" i="47" s="1"/>
  <c r="Q19" i="47" s="1"/>
  <c r="W14" i="47"/>
  <c r="W15" i="47" s="1"/>
  <c r="W19" i="47" s="1"/>
  <c r="G14" i="47"/>
  <c r="G15" i="47" s="1"/>
  <c r="G19" i="47" s="1"/>
  <c r="K14" i="47"/>
  <c r="K15" i="47" s="1"/>
  <c r="K19" i="47" s="1"/>
  <c r="U14" i="47"/>
  <c r="U15" i="47" s="1"/>
  <c r="U19" i="47" s="1"/>
  <c r="Y14" i="47"/>
  <c r="Y15" i="47" s="1"/>
  <c r="Y19" i="47" s="1"/>
  <c r="I38" i="49" l="1"/>
  <c r="E19" i="47"/>
  <c r="E23" i="47" s="1"/>
  <c r="H282" i="1"/>
  <c r="H278" i="1"/>
  <c r="I38" i="8" l="1"/>
  <c r="H279" i="1" s="1"/>
  <c r="H284" i="1" s="1"/>
  <c r="I40" i="49"/>
  <c r="J38" i="49"/>
  <c r="J40" i="49" s="1"/>
  <c r="I41" i="49" l="1"/>
  <c r="H288" i="1"/>
  <c r="J38" i="8"/>
  <c r="J40" i="8" s="1"/>
  <c r="H290" i="1" l="1"/>
  <c r="H291" i="1" s="1"/>
  <c r="K40" i="8"/>
  <c r="I41" i="8" s="1"/>
  <c r="M21" i="47"/>
  <c r="M23" i="47" s="1"/>
  <c r="M28" i="47" s="1"/>
  <c r="G23" i="47"/>
  <c r="G28" i="47" s="1"/>
  <c r="Y21" i="47"/>
  <c r="Y23" i="47" s="1"/>
  <c r="Y28" i="47" s="1"/>
  <c r="K21" i="47"/>
  <c r="K23" i="47" s="1"/>
  <c r="K28" i="47" s="1"/>
  <c r="I23" i="47"/>
  <c r="I28" i="47" s="1"/>
  <c r="S21" i="47"/>
  <c r="S23" i="47" s="1"/>
  <c r="S28" i="47" s="1"/>
  <c r="O21" i="47"/>
  <c r="O23" i="47" s="1"/>
  <c r="O28" i="47" s="1"/>
  <c r="Q21" i="47"/>
  <c r="Q23" i="47" s="1"/>
  <c r="Q28" i="47" s="1"/>
  <c r="U21" i="47"/>
  <c r="U23" i="47" s="1"/>
  <c r="U28" i="47" s="1"/>
  <c r="W21" i="47"/>
  <c r="W23" i="47" s="1"/>
  <c r="W28" i="47" s="1"/>
  <c r="H292" i="1" l="1"/>
  <c r="H293" i="1" s="1"/>
  <c r="E28" i="47"/>
  <c r="H294" i="1" l="1"/>
</calcChain>
</file>

<file path=xl/sharedStrings.xml><?xml version="1.0" encoding="utf-8"?>
<sst xmlns="http://schemas.openxmlformats.org/spreadsheetml/2006/main" count="2121" uniqueCount="1036">
  <si>
    <t>Dayton Power and Light</t>
  </si>
  <si>
    <t xml:space="preserve">ATTACHMENT H-15A </t>
  </si>
  <si>
    <t>Formula Rate -- Appendix A (electric only)</t>
  </si>
  <si>
    <t>Notes</t>
  </si>
  <si>
    <t>Formula Rate Attachment Reference or Instruction</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</si>
  <si>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</si>
  <si>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</si>
  <si>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</si>
  <si>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</si>
  <si>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</si>
  <si>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</si>
  <si>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</si>
  <si>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</si>
  <si>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</si>
  <si>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</si>
  <si>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</si>
  <si>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</si>
  <si>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</si>
  <si>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</si>
  <si>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</si>
  <si>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</si>
  <si>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</si>
  <si>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</si>
  <si>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</si>
  <si>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</si>
  <si>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</si>
  <si>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</si>
  <si>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</si>
  <si>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</si>
  <si>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</si>
  <si>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</si>
  <si>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</si>
  <si>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</si>
  <si>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</si>
  <si>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</si>
  <si>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</si>
  <si>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</si>
  <si>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</si>
  <si>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</si>
  <si>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</si>
  <si>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</si>
  <si>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</si>
  <si>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</si>
  <si>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</si>
  <si>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</si>
  <si>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</si>
  <si>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</si>
  <si>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</si>
  <si>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</si>
  <si>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</si>
  <si>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</si>
  <si>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</si>
  <si>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</si>
  <si>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</si>
  <si>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</si>
  <si>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</si>
  <si>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</si>
  <si>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</si>
  <si>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</si>
  <si>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</si>
  <si>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</si>
  <si>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</si>
  <si>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</si>
  <si>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</si>
  <si>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</si>
  <si>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</si>
  <si>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</si>
  <si>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</si>
  <si>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</si>
  <si>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</si>
  <si>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</si>
  <si>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</si>
  <si>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</si>
  <si>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</si>
  <si>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</si>
  <si>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</si>
  <si>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</si>
  <si>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</si>
  <si>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</si>
  <si>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</si>
  <si>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</si>
  <si>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</si>
  <si>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</si>
  <si>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</si>
  <si>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</si>
  <si>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</si>
  <si>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</si>
  <si>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</si>
  <si>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</si>
  <si>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</si>
  <si>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</si>
  <si>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</si>
  <si>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</si>
  <si>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</si>
  <si>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</si>
  <si>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</si>
  <si>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</si>
  <si>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</si>
  <si>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</si>
  <si>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</si>
  <si>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</si>
  <si>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</si>
  <si>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</si>
  <si>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</si>
  <si>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</si>
  <si>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</si>
  <si>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</si>
  <si>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</si>
  <si>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</si>
  <si>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</si>
  <si>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</si>
  <si>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</si>
  <si>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</si>
  <si>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</si>
  <si>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</si>
  <si>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</si>
  <si>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</si>
  <si>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</si>
  <si>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</si>
  <si>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</si>
  <si>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</si>
  <si>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</si>
  <si>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</si>
  <si>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</si>
  <si>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</si>
  <si>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</si>
  <si>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</si>
  <si>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</si>
  <si>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</si>
  <si>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</si>
  <si>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</si>
  <si>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</si>
  <si>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</si>
  <si>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</si>
  <si>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</si>
  <si>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</si>
  <si>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</si>
  <si>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</si>
  <si>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</si>
  <si>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</si>
  <si>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</si>
  <si>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</si>
  <si>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</si>
  <si>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</si>
  <si>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</si>
  <si>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</si>
  <si>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</si>
  <si>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</si>
  <si>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</si>
  <si>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</si>
  <si>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</si>
  <si>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</si>
  <si>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</si>
  <si>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</si>
  <si>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</si>
  <si>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</si>
  <si>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</si>
  <si>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</si>
  <si>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</si>
  <si>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</si>
  <si>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</si>
  <si>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</si>
  <si>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</si>
  <si>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</si>
  <si>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</si>
  <si>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</si>
  <si>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</si>
  <si>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</si>
  <si>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</si>
  <si>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</si>
  <si>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</si>
  <si>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</si>
  <si>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</si>
  <si>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</si>
  <si>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</si>
  <si>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</si>
  <si>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</si>
  <si>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</si>
  <si>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</si>
  <si>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</si>
  <si>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</si>
  <si>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</si>
  <si>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</si>
  <si>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</si>
  <si>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</si>
  <si>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</si>
  <si>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</si>
  <si>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</si>
  <si>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</si>
  <si>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</si>
  <si>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</si>
  <si>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</si>
  <si>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</si>
  <si>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True-up amount</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</si>
  <si>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</si>
  <si>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</si>
  <si>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</si>
  <si>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</si>
  <si>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</si>
  <si>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</si>
  <si>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</si>
  <si>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</si>
  <si>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</si>
  <si>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</si>
  <si>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</si>
  <si>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</si>
  <si>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</si>
  <si>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</si>
  <si>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</si>
  <si>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</si>
  <si>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</si>
  <si>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</si>
  <si>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</si>
  <si>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</si>
  <si>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</si>
  <si>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</si>
  <si>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</si>
  <si>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</si>
  <si>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</si>
  <si>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</si>
  <si>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</si>
  <si>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</si>
  <si>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</si>
  <si>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</si>
  <si>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</si>
  <si>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</si>
  <si>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</si>
  <si>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</si>
  <si>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</si>
  <si>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</si>
  <si>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</si>
  <si>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</si>
  <si>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</si>
  <si>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</si>
  <si>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</si>
  <si>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</si>
  <si>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</si>
  <si>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</si>
  <si>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</si>
  <si>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</si>
  <si>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</si>
  <si>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</si>
  <si>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</si>
  <si>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</si>
  <si>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</si>
  <si>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</si>
  <si>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</si>
  <si>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</si>
  <si>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</si>
  <si>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</si>
  <si>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</si>
  <si>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</si>
  <si>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</si>
  <si>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</si>
  <si>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</si>
  <si>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</si>
  <si>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</si>
  <si>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</si>
  <si>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</si>
  <si>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</si>
  <si>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</si>
  <si>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</si>
  <si>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</si>
  <si>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</si>
  <si>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</si>
  <si>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</si>
  <si>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</si>
  <si>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</si>
  <si>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In filling out this attachment, a full and complete description of each item and justification for the allocation to Columns B-G and each separate ADIT item will be listed,</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</si>
  <si>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</si>
  <si>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</si>
  <si>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</si>
  <si>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</si>
  <si>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</si>
  <si>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</si>
  <si>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</si>
  <si>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</si>
  <si>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</si>
  <si>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</si>
  <si>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</si>
  <si>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</si>
  <si>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</si>
  <si>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</si>
  <si>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</si>
  <si>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</si>
  <si>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</si>
  <si>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</si>
  <si>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</si>
  <si>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</si>
  <si>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State and local taxes accrued on the listed temporary differences</t>
  </si>
  <si>
    <t>Capitalized Interest Income</t>
  </si>
  <si>
    <t>Tax capitalized interest on certain pollution control bonds</t>
  </si>
  <si>
    <t>Deferred Federal Taxes on CAT Tax Credit</t>
  </si>
  <si>
    <t>Deferred taxes a CAT (Commercial Activites Tax similar to a gross receipts tax) creditn</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</si>
  <si>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</si>
  <si>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</si>
  <si>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</si>
  <si>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</si>
  <si>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</si>
  <si>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</si>
  <si>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</si>
  <si>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</si>
  <si>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</si>
  <si>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</si>
  <si>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</si>
  <si>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</si>
  <si>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</si>
  <si>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</si>
  <si>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</si>
  <si>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</si>
  <si>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</si>
  <si>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</si>
  <si>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</si>
  <si>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</si>
  <si>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</si>
  <si>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</si>
  <si>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</si>
  <si>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</si>
  <si>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</si>
  <si>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</si>
  <si>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</si>
  <si>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</si>
  <si>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</si>
  <si>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</si>
  <si>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</si>
  <si>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</si>
  <si>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</si>
  <si>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</si>
  <si>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</si>
  <si>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</si>
  <si>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</si>
  <si>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</si>
  <si>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</si>
  <si>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</si>
  <si>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Debit amounts are shown as positive and credit amounts are shown as negative.</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</si>
  <si>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</si>
  <si>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</si>
  <si>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</si>
  <si>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</si>
  <si>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</si>
  <si>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</si>
  <si>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</si>
  <si>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</si>
  <si>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</si>
  <si>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</si>
  <si>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</si>
  <si>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</si>
  <si>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</si>
  <si>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</si>
  <si>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</si>
  <si>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</si>
  <si>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</si>
  <si>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</si>
  <si>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</si>
  <si>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</si>
  <si>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</si>
  <si>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</si>
  <si>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</si>
  <si>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</si>
  <si>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</si>
  <si>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</si>
  <si>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</si>
  <si>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</si>
  <si>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</si>
  <si>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</si>
  <si>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</si>
  <si>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</si>
  <si>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</si>
  <si>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</si>
  <si>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</si>
  <si>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</si>
  <si>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</si>
  <si>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</si>
  <si>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</si>
  <si>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</si>
  <si>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</si>
  <si>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</si>
  <si>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</si>
  <si>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</si>
  <si>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</si>
  <si>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</si>
  <si>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</si>
  <si>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</si>
  <si>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</si>
  <si>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</si>
  <si>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</si>
  <si>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</si>
  <si>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</si>
  <si>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Tax capitalized interest on certain pollution control bondsn</t>
  </si>
  <si>
    <t>Deferred taxes a CAT (Commercial Activites Tax similar to a gross receipts tax) credit</t>
  </si>
  <si>
    <t>Miscellaneous book tax differencesn</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</si>
  <si>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</si>
  <si>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</si>
  <si>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</si>
  <si>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</si>
  <si>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</si>
  <si>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</si>
  <si>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Miscellaneous book tax differences primarily related to non-utility activities</t>
  </si>
  <si>
    <t xml:space="preserve">Attachment 1D - Accumulated Deferred Income Taxes for Annual True-up - December 31, </t>
  </si>
  <si>
    <t>Average Beginning and End of Year ADIT 283 and 190</t>
  </si>
  <si>
    <t>Actual Average and Prorated ADIT Balance</t>
  </si>
  <si>
    <t>Only Transmission Related</t>
  </si>
  <si>
    <t>Remove as included in cost of debt</t>
  </si>
  <si>
    <t xml:space="preserve">  </t>
  </si>
  <si>
    <t xml:space="preserve">Note:  The calculations for depreciation-related  ADIT in the projected net revenue requirement and the Annual True-Up calculation will be performed in accordance with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</si>
  <si>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</si>
  <si>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</si>
  <si>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</si>
  <si>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</si>
  <si>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 xml:space="preserve">Attachment 1E - Accumulated Deferred Income Taxes for Annual True-up - December 31, </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</si>
  <si>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</si>
  <si>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</si>
  <si>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</si>
  <si>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</si>
  <si>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</si>
  <si>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</si>
  <si>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</si>
  <si>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</si>
  <si>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</si>
  <si>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</si>
  <si>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</si>
  <si>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</si>
  <si>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</si>
  <si>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</si>
  <si>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</si>
  <si>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</si>
  <si>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</si>
  <si>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</si>
  <si>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</si>
  <si>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</si>
  <si>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</si>
  <si>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</si>
  <si>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</si>
  <si>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</si>
  <si>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</si>
  <si>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</si>
  <si>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</si>
  <si>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</si>
  <si>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</si>
  <si>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</si>
  <si>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</si>
  <si>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</si>
  <si>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</si>
  <si>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</si>
  <si>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</si>
  <si>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</si>
  <si>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</si>
  <si>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</si>
  <si>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</si>
  <si>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</si>
  <si>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</si>
  <si>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</si>
  <si>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</si>
  <si>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</si>
  <si>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</si>
  <si>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Subtotal, Excluded</t>
  </si>
  <si>
    <t>Total, Included and Excluded (Line 11 + Line 19)</t>
  </si>
  <si>
    <t>Difference  (Line 20 - Line 21)</t>
  </si>
  <si>
    <t>Account 451</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</si>
  <si>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</si>
  <si>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</si>
  <si>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</si>
  <si>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</si>
  <si>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</si>
  <si>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</si>
  <si>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</si>
  <si>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</si>
  <si>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</si>
  <si>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</si>
  <si>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</si>
  <si>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</si>
  <si>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</si>
  <si>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</si>
  <si>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</si>
  <si>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</si>
  <si>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</si>
  <si>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</si>
  <si>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</si>
  <si>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</si>
  <si>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</si>
  <si>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</si>
  <si>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</si>
  <si>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</si>
  <si>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</si>
  <si>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</si>
  <si>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</si>
  <si>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2"/>
        <rFont val="Arial"/>
        <family val="2"/>
      </rPr>
      <t>Pacific Gas and Electric Company</t>
    </r>
    <r>
      <rPr>
        <sz val="12"/>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</si>
  <si>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Note 3</t>
  </si>
  <si>
    <t>DP&amp;L share of Schedule 7, Firm P2P Border Rate revenue</t>
  </si>
  <si>
    <t>Plant Investment Support [exclude any Asset Retirement Obligations]</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</si>
  <si>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</si>
  <si>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</si>
  <si>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</si>
  <si>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</si>
  <si>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</si>
  <si>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</si>
  <si>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</si>
  <si>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</si>
  <si>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</si>
  <si>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</si>
  <si>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</si>
  <si>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</si>
  <si>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</si>
  <si>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</si>
  <si>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</si>
  <si>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</si>
  <si>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</si>
  <si>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</si>
  <si>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</si>
  <si>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</si>
  <si>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Common Plant in Service - Electric</t>
  </si>
  <si>
    <t>p356</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</si>
  <si>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</si>
  <si>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</si>
  <si>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</si>
  <si>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</si>
  <si>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</si>
  <si>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</si>
  <si>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</si>
  <si>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</si>
  <si>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</si>
  <si>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</si>
  <si>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</si>
  <si>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</si>
  <si>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</si>
  <si>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</si>
  <si>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</si>
  <si>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</si>
  <si>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</si>
  <si>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</si>
  <si>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</si>
  <si>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</si>
  <si>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</si>
  <si>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</si>
  <si>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</si>
  <si>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</si>
  <si>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</si>
  <si>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</si>
  <si>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</si>
  <si>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</si>
  <si>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</si>
  <si>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</si>
  <si>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</si>
  <si>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</si>
  <si>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</si>
  <si>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</si>
  <si>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</si>
  <si>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</si>
  <si>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</si>
  <si>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</si>
  <si>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</si>
  <si>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</si>
  <si>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</si>
  <si>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</si>
  <si>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</si>
  <si>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</si>
  <si>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</si>
  <si>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</si>
  <si>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</si>
  <si>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</si>
  <si>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</si>
  <si>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</si>
  <si>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</si>
  <si>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</si>
  <si>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</si>
  <si>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</si>
  <si>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</si>
  <si>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</si>
  <si>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</si>
  <si>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</si>
  <si>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</si>
  <si>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</si>
  <si>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</si>
  <si>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</si>
  <si>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</si>
  <si>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</si>
  <si>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</si>
  <si>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</si>
  <si>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</si>
  <si>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</si>
  <si>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</si>
  <si>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</si>
  <si>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</si>
  <si>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</si>
  <si>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 xml:space="preserve">Non-Transmission </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</si>
  <si>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</si>
  <si>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</si>
  <si>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</si>
  <si>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</si>
  <si>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</si>
  <si>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</si>
  <si>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</si>
  <si>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</si>
  <si>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</si>
  <si>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</si>
  <si>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</si>
  <si>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</si>
  <si>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</si>
  <si>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</si>
  <si>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</si>
  <si>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</si>
  <si>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</si>
  <si>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</si>
  <si>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</si>
  <si>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</si>
  <si>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</si>
  <si>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</si>
  <si>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</si>
  <si>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</si>
  <si>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</si>
  <si>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</si>
  <si>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</si>
  <si>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</si>
  <si>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</si>
  <si>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</si>
  <si>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</si>
  <si>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</si>
  <si>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</si>
  <si>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</si>
  <si>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</si>
  <si>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</si>
  <si>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</si>
  <si>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</si>
  <si>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</si>
  <si>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</si>
  <si>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</si>
  <si>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</si>
  <si>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</si>
  <si>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</si>
  <si>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</si>
  <si>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</si>
  <si>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</si>
  <si>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</si>
  <si>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</si>
  <si>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</si>
  <si>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</si>
  <si>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</si>
  <si>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</si>
  <si>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</si>
  <si>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</si>
  <si>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</si>
  <si>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</si>
  <si>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</si>
  <si>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</si>
  <si>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</si>
  <si>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</si>
  <si>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</si>
  <si>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</si>
  <si>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</si>
  <si>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</si>
  <si>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</si>
  <si>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</si>
  <si>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</si>
  <si>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</si>
  <si>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</si>
  <si>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</si>
  <si>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</si>
  <si>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</si>
  <si>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</si>
  <si>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</si>
  <si>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</si>
  <si>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</si>
  <si>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</si>
  <si>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</si>
  <si>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</si>
  <si>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</si>
  <si>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</si>
  <si>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</si>
  <si>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</si>
  <si>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</si>
  <si>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</si>
  <si>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</si>
  <si>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</si>
  <si>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</si>
  <si>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</si>
  <si>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</si>
  <si>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</si>
  <si>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</si>
  <si>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</si>
  <si>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</si>
  <si>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(Attachment 10)</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</si>
  <si>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</si>
  <si>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</si>
  <si>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</si>
  <si>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</si>
  <si>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</si>
  <si>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</si>
  <si>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</si>
  <si>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</si>
  <si>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</si>
  <si>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Current Year</t>
  </si>
  <si>
    <t xml:space="preserve">Dec </t>
  </si>
  <si>
    <t>Dec</t>
  </si>
  <si>
    <t>Projects</t>
  </si>
  <si>
    <t>Yes</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</si>
  <si>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</si>
  <si>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</si>
  <si>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</si>
  <si>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</si>
  <si>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</si>
  <si>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</si>
  <si>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</si>
  <si>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</si>
  <si>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</si>
  <si>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</si>
  <si>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</si>
  <si>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</si>
  <si>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</si>
  <si>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</si>
  <si>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</si>
  <si>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</si>
  <si>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</si>
  <si>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</si>
  <si>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</si>
  <si>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</si>
  <si>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</si>
  <si>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</si>
  <si>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</si>
  <si>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</si>
  <si>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</si>
  <si>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</si>
  <si>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</si>
  <si>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</si>
  <si>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</si>
  <si>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</si>
  <si>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</si>
  <si>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</si>
  <si>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</si>
  <si>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ATU Adjustment with Interest Rate True-up</t>
  </si>
  <si>
    <t>Where:</t>
  </si>
  <si>
    <t>i = average interest rate as calculated below</t>
  </si>
  <si>
    <t>Interest on Amount of Refunds or Surcharges</t>
  </si>
  <si>
    <t xml:space="preserve">Actual </t>
  </si>
  <si>
    <t>Monthly</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</si>
  <si>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</si>
  <si>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</si>
  <si>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</si>
  <si>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</si>
  <si>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</si>
  <si>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</si>
  <si>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</si>
  <si>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</si>
  <si>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</si>
  <si>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</si>
  <si>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</si>
  <si>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</si>
  <si>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</si>
  <si>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</si>
  <si>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</si>
  <si>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</si>
  <si>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</si>
  <si>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</si>
  <si>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</si>
  <si>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</si>
  <si>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</si>
  <si>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</si>
  <si>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</si>
  <si>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</si>
  <si>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</si>
  <si>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</si>
  <si>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</si>
  <si>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</si>
  <si>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</si>
  <si>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</si>
  <si>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</si>
  <si>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</si>
  <si>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</si>
  <si>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</si>
  <si>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</si>
  <si>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</si>
  <si>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</si>
  <si>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</si>
  <si>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</si>
  <si>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</si>
  <si>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</si>
  <si>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</si>
  <si>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</si>
  <si>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</si>
  <si>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</si>
  <si>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</si>
  <si>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</si>
  <si>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</si>
  <si>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</si>
  <si>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</si>
  <si>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</si>
  <si>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</si>
  <si>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</si>
  <si>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</si>
  <si>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</si>
  <si>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</si>
  <si>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</si>
  <si>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</si>
  <si>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</si>
  <si>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</si>
  <si>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</si>
  <si>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</si>
  <si>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</si>
  <si>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</si>
  <si>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</si>
  <si>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</si>
  <si>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Resulting from Income Tax Rate Changes (Note D)</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</si>
  <si>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</si>
  <si>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</si>
  <si>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</si>
  <si>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</si>
  <si>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</si>
  <si>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</si>
  <si>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</si>
  <si>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</si>
  <si>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</si>
  <si>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</si>
  <si>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</si>
  <si>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</si>
  <si>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</si>
  <si>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</si>
  <si>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</si>
  <si>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</si>
  <si>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</si>
  <si>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</si>
  <si>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</si>
  <si>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</si>
  <si>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</si>
  <si>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</si>
  <si>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</si>
  <si>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</si>
  <si>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</si>
  <si>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</si>
  <si>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</si>
  <si>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</si>
  <si>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</si>
  <si>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</si>
  <si>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</si>
  <si>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</si>
  <si>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</si>
  <si>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</si>
  <si>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</si>
  <si>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</si>
  <si>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</si>
  <si>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</si>
  <si>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</si>
  <si>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</si>
  <si>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</si>
  <si>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</si>
  <si>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</si>
  <si>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</si>
  <si>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</si>
  <si>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</si>
  <si>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</si>
  <si>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</si>
  <si>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</si>
  <si>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</si>
  <si>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</si>
  <si>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</si>
  <si>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</si>
  <si>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</si>
  <si>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</si>
  <si>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</si>
  <si>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</si>
  <si>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</si>
  <si>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</si>
  <si>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</si>
  <si>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</si>
  <si>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</si>
  <si>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</si>
  <si>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</si>
  <si>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</si>
  <si>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</si>
  <si>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</si>
  <si>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</si>
  <si>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</si>
  <si>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</si>
  <si>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</si>
  <si>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</si>
  <si>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</si>
  <si>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</si>
  <si>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</si>
  <si>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</si>
  <si>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</si>
  <si>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</si>
  <si>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</si>
  <si>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</si>
  <si>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</si>
  <si>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</si>
  <si>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</si>
  <si>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</si>
  <si>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</si>
  <si>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</si>
  <si>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</si>
  <si>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</si>
  <si>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</si>
  <si>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</si>
  <si>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</si>
  <si>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</si>
  <si>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</si>
  <si>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</si>
  <si>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Miscellaneous Liabilities</t>
  </si>
  <si>
    <t>Account 242 - Current Year</t>
  </si>
  <si>
    <t>Wage</t>
  </si>
  <si>
    <t>Plant</t>
  </si>
  <si>
    <t>Categories of Items</t>
  </si>
  <si>
    <t>Payroll Accrual</t>
  </si>
  <si>
    <t>Benefits</t>
  </si>
  <si>
    <t>Energy Suppliers</t>
  </si>
  <si>
    <t>Total Transmission Allocation</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</si>
  <si>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</si>
  <si>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</si>
  <si>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</si>
  <si>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</si>
  <si>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</si>
  <si>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</si>
  <si>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</si>
  <si>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</si>
  <si>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</si>
  <si>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</si>
  <si>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</si>
  <si>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</si>
  <si>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</si>
  <si>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</si>
  <si>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</si>
  <si>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</si>
  <si>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</si>
  <si>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</si>
  <si>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</si>
  <si>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</si>
  <si>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</si>
  <si>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</si>
  <si>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</si>
  <si>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Schedule 1A</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</si>
  <si>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</si>
  <si>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</si>
  <si>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</si>
  <si>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</si>
  <si>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</si>
  <si>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</si>
  <si>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</si>
  <si>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</si>
  <si>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</si>
  <si>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</si>
  <si>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Data provided by PJM</t>
  </si>
  <si>
    <t>MWHs</t>
  </si>
  <si>
    <t>Schedule 1A Rate per MWH</t>
  </si>
  <si>
    <t>Administrative and General Expense Detail</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</si>
  <si>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</si>
  <si>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</si>
  <si>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</si>
  <si>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</si>
  <si>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</si>
  <si>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</si>
  <si>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</si>
  <si>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</si>
  <si>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</si>
  <si>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</si>
  <si>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</si>
  <si>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</si>
  <si>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</si>
  <si>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</si>
  <si>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</si>
  <si>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</si>
  <si>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</si>
  <si>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Not used for actual ATRR calculations</t>
  </si>
  <si>
    <t>Total Other Taxes from p114.14.k</t>
  </si>
  <si>
    <t>p200.8c</t>
  </si>
  <si>
    <t>p200.18c</t>
  </si>
  <si>
    <t>p200.21c/derived</t>
  </si>
  <si>
    <t>p214.2.d</t>
  </si>
  <si>
    <t>p336.7f</t>
  </si>
  <si>
    <t>(Attachment 9)</t>
  </si>
  <si>
    <t>South Charleston (Madison) Substation</t>
  </si>
  <si>
    <t>p350.c</t>
  </si>
  <si>
    <t xml:space="preserve">Form 1 Dec </t>
  </si>
  <si>
    <t>Federal Income Tax</t>
  </si>
  <si>
    <t>Ohio Municipal Income Taxes</t>
  </si>
  <si>
    <t>Sales and Use Tax</t>
  </si>
  <si>
    <t>Heavy Vehicle Use Tax</t>
  </si>
  <si>
    <t>Ohio CAT Tax</t>
  </si>
  <si>
    <t>Excluded Transission Items</t>
  </si>
  <si>
    <t>Balance at 12/31/22 - T</t>
  </si>
  <si>
    <t>Balance at 12/31/22-G</t>
  </si>
  <si>
    <t>12/31/21 - T</t>
  </si>
  <si>
    <t>12/31/21 - G</t>
  </si>
  <si>
    <r>
      <t xml:space="preserve">Revenue Credit from </t>
    </r>
    <r>
      <rPr>
        <sz val="12"/>
        <color theme="3" tint="0.59999389629810485"/>
        <rFont val="Arial"/>
        <family val="2"/>
      </rPr>
      <t>Schedule 1</t>
    </r>
    <r>
      <rPr>
        <sz val="12"/>
        <rFont val="Arial"/>
        <family val="2"/>
      </rPr>
      <t xml:space="preserve"> Border Rate Transactions</t>
    </r>
  </si>
  <si>
    <t>Estimated In-service Date</t>
  </si>
  <si>
    <t>In construction</t>
  </si>
  <si>
    <t>Information Added for CWIP report</t>
  </si>
  <si>
    <t>From 2023 LT Forecast Report to PUCO, page FE-D1 2, reporting 2022 data - total end user consumption</t>
  </si>
  <si>
    <t>12 Months Ended December 31, 2024</t>
  </si>
  <si>
    <t xml:space="preserve">Projected for </t>
  </si>
  <si>
    <t>For 5/3/20-12/31/20</t>
  </si>
  <si>
    <t>FERC Interest Rate</t>
  </si>
  <si>
    <t>2020-2024 Average</t>
  </si>
  <si>
    <t>2021-2024 Average</t>
  </si>
  <si>
    <t>ATSI Zone only</t>
  </si>
  <si>
    <t>Attachment 1A - Accumulated Deferred Income Taxes (ADIT) Worksheet - Projected December 31, 2024</t>
  </si>
  <si>
    <t>Attachment 1B - Accumulated Deferred Income Taxes - Prorated Projection - December 31, 2024</t>
  </si>
  <si>
    <t>Attachment 2 - Taxes Other Than Income - December 31, 2024</t>
  </si>
  <si>
    <t>Attachment 3 - Revenue Credits - December 31, 2024</t>
  </si>
  <si>
    <t>Attachment 4 - Cost Support - December 31, 2024</t>
  </si>
  <si>
    <t>Attachment 5 - CWIP in Rate Base - December 31, 2024</t>
  </si>
  <si>
    <t>Marysville - Upgrade Substation</t>
  </si>
  <si>
    <t>Lewisburg - new 138 kV Line New Westville-AEP Hodgin</t>
  </si>
  <si>
    <t>Lewisburg - new 138 kV Line New Westville-West Manchester</t>
  </si>
  <si>
    <t>Botkins 69 kV Capacitor Relocation</t>
  </si>
  <si>
    <t>Amsterdam - Amsterdam to West Moulton 138 kV Improvements</t>
  </si>
  <si>
    <t>Amsterdam - Substation Expansion</t>
  </si>
  <si>
    <t>Amsterdam - Sidney Substation Expansion</t>
  </si>
  <si>
    <t>Amsterdam - Franklin Substation and 138 kV extension</t>
  </si>
  <si>
    <t>Amsterdam -Sidney-Franklin Honda 138 kV Rebuild and Extension</t>
  </si>
  <si>
    <t>Madison - New 345 kV Substation</t>
  </si>
  <si>
    <t>Madison - New Fayette Substation</t>
  </si>
  <si>
    <t>Madison - New 138 kV Line Fayette to Honda</t>
  </si>
  <si>
    <t>Madison - New 345 kV Line Madison-Fayette</t>
  </si>
  <si>
    <t>Creekside - New 138 kV Line</t>
  </si>
  <si>
    <t>Attachment 6A - True-up Adjustment for Network Integration Transmission Service - December 31, 2024</t>
  </si>
  <si>
    <t>Attachment 6B - True-up Adjustment for Schedule 12 Projects (Transmission Enhancement Charges) - December 31, 2024</t>
  </si>
  <si>
    <t>Attachment 7A - ROE Adder for Projects - December 31, 2024</t>
  </si>
  <si>
    <t>Attachment 7B - Revenue Requirement of Schedule 12 Projects - December 31, 2024</t>
  </si>
  <si>
    <t>Attachment 9 - Excess Accumulated Deferred Income Taxes - December 31, 2024</t>
  </si>
  <si>
    <t>Attachment 11 - Corrections - December 31, 2024</t>
  </si>
  <si>
    <t>January through December 2024</t>
  </si>
  <si>
    <t>December 31, 2024</t>
  </si>
  <si>
    <t>Months (see Corrections Tab)</t>
  </si>
  <si>
    <t>Interest Amount</t>
  </si>
  <si>
    <t>Total Correction Plus Interest</t>
  </si>
  <si>
    <t>Schedule 12 Annual True-Up Adjustment Plus Correction</t>
  </si>
  <si>
    <t>ATSI Only Correction - 2020</t>
  </si>
  <si>
    <t>Includes Correction - 2021</t>
  </si>
  <si>
    <t>Lewisburg- West Manchester 138 kV Substation Expansion</t>
  </si>
  <si>
    <t>Status as of October 2023</t>
  </si>
  <si>
    <t>Not yet started</t>
  </si>
  <si>
    <t>Approved for Inclusion</t>
  </si>
  <si>
    <t>Rate Year = 2024</t>
  </si>
  <si>
    <t xml:space="preserve"> (part of Non-Elec Rev-Oth Rev Sch. 1a/dispatch)</t>
  </si>
  <si>
    <t>Complete</t>
  </si>
  <si>
    <t>2022 data</t>
  </si>
  <si>
    <t>Not used in projections - see 1A-ADIT</t>
  </si>
  <si>
    <t>Not used in projections - see 1B - ADIT Proration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</si>
</sst>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quot;$&quot;#,##0"/>
    <numFmt numFmtId="174" formatCode="_(* #,##0.00000_);_(* \(#,##0.00000\);_(* &quot;-&quot;??_);_(@_)"/>
    <numFmt numFmtId="175" formatCode="_([$€-2]* #,##0.00_);_([$€-2]* \(#,##0.00\);_([$€-2]* &quot;-&quot;??_)"/>
    <numFmt numFmtId="176" formatCode="#,##0.0"/>
    <numFmt numFmtId="177" formatCode="0_);\(0\)"/>
    <numFmt numFmtId="178" formatCode="mmmm\ d\,\ yyyy"/>
    <numFmt numFmtId="179" formatCode="mm/dd/yy"/>
    <numFmt numFmtId="180" formatCode="0.00_)"/>
    <numFmt numFmtId="181" formatCode="0.000000%;[Red]\-0.000000%"/>
    <numFmt numFmtId="182" formatCode="#,##0.0000000000000"/>
    <numFmt numFmtId="183" formatCode="&quot;$&quot;#,##0.0"/>
    <numFmt numFmtId="184" formatCode="#,##0.0_);\(#,##0.0\)"/>
    <numFmt numFmtId="185" formatCode="&quot;$&quot;#,##0.000_);\(&quot;$&quot;#,##0.000\)"/>
    <numFmt numFmtId="186" formatCode="&quot;$&quot;#,##0.0_);\(&quot;$&quot;#,##0.0\)"/>
    <numFmt numFmtId="187" formatCode="#,##0.000_);\(#,##0.000\)"/>
    <numFmt numFmtId="188" formatCode="_(* #,##0.0\¢_m;[Red]_(* \-#,##0.0\¢_m;[Green]_(* 0.0\¢_m;_(@_)_%"/>
    <numFmt numFmtId="189" formatCode="_(* #,##0.00\¢_m;[Red]_(* \-#,##0.00\¢_m;[Green]_(* 0.00\¢_m;_(@_)_%"/>
    <numFmt numFmtId="190" formatCode="_(* #,##0.000\¢_m;[Red]_(* \-#,##0.000\¢_m;[Green]_(* 0.000\¢_m;_(@_)_%"/>
    <numFmt numFmtId="191" formatCode="_(_(\£* #,##0_)_%;[Red]_(\(\£* #,##0\)_%;[Green]_(_(\£* #,##0_)_%;_(@_)_%"/>
    <numFmt numFmtId="192" formatCode="_(_(\£* #,##0.0_)_%;[Red]_(\(\£* #,##0.0\)_%;[Green]_(_(\£* #,##0.0_)_%;_(@_)_%"/>
    <numFmt numFmtId="193" formatCode="_(_(\£* #,##0.00_)_%;[Red]_(\(\£* #,##0.00\)_%;[Green]_(_(\£* #,##0.00_)_%;_(@_)_%"/>
    <numFmt numFmtId="194" formatCode="0.0%_);\(0.0%\)"/>
    <numFmt numFmtId="195" formatCode="\•\ \ @"/>
    <numFmt numFmtId="196" formatCode="_(_(\•_ #0_)_%;[Red]_(_(\•_ \-#0\)_%;[Green]_(_(\•_ #0_)_%;_(_(\•_ @_)_%"/>
    <numFmt numFmtId="197" formatCode="_(_(_•_ \•_ #0_)_%;[Red]_(_(_•_ \•_ \-#0\)_%;[Green]_(_(_•_ \•_ #0_)_%;_(_(_•_ \•_ @_)_%"/>
    <numFmt numFmtId="198" formatCode="_(_(_•_ _•_ \•_ #0_)_%;[Red]_(_(_•_ _•_ \•_ \-#0\)_%;[Green]_(_(_•_ _•_ \•_ #0_)_%;_(_(_•_ \•_ @_)_%"/>
    <numFmt numFmtId="199" formatCode="#,##0,_);\(#,##0,\)"/>
    <numFmt numFmtId="200" formatCode="0.0,_);\(0.0,\)"/>
    <numFmt numFmtId="201" formatCode="0.00,_);\(0.00,\)"/>
    <numFmt numFmtId="202" formatCode="_(_(_$* #,##0.0_)_%;[Red]_(\(_$* #,##0.0\)_%;[Green]_(_(_$* #,##0.0_)_%;_(@_)_%"/>
    <numFmt numFmtId="203" formatCode="_(_(_$* #,##0.00_)_%;[Red]_(\(_$* #,##0.00\)_%;[Green]_(_(_$* #,##0.00_)_%;_(@_)_%"/>
    <numFmt numFmtId="204" formatCode="_(_(_$* #,##0.000_)_%;[Red]_(\(_$* #,##0.000\)_%;[Green]_(_(_$* #,##0.000_)_%;_(@_)_%"/>
    <numFmt numFmtId="205" formatCode="_._.* #,##0.0_)_%;_._.* \(#,##0.0\)_%;_._.* \ ?_)_%"/>
    <numFmt numFmtId="206" formatCode="_._.* #,##0.00_)_%;_._.* \(#,##0.00\)_%;_._.* \ ?_)_%"/>
    <numFmt numFmtId="207" formatCode="_._.* #,##0.000_)_%;_._.* \(#,##0.000\)_%;_._.* \ ?_)_%"/>
    <numFmt numFmtId="208" formatCode="_._.* #,##0.0000_)_%;_._.* \(#,##0.0000\)_%;_._.* \ ?_)_%"/>
    <numFmt numFmtId="209" formatCode="_(_(&quot;$&quot;* #,##0.0_)_%;[Red]_(\(&quot;$&quot;* #,##0.0\)_%;[Green]_(_(&quot;$&quot;* #,##0.0_)_%;_(@_)_%"/>
    <numFmt numFmtId="210" formatCode="_(_(&quot;$&quot;* #,##0.00_)_%;[Red]_(\(&quot;$&quot;* #,##0.00\)_%;[Green]_(_(&quot;$&quot;* #,##0.00_)_%;_(@_)_%"/>
    <numFmt numFmtId="211" formatCode="_(_(&quot;$&quot;* #,##0.000_)_%;[Red]_(\(&quot;$&quot;* #,##0.000\)_%;[Green]_(_(&quot;$&quot;* #,##0.000_)_%;_(@_)_%"/>
    <numFmt numFmtId="212" formatCode="_._.&quot;$&quot;* #,##0.0_)_%;_._.&quot;$&quot;* \(#,##0.0\)_%;_._.&quot;$&quot;* \ ?_)_%"/>
    <numFmt numFmtId="213" formatCode="_._.&quot;$&quot;* #,##0.00_)_%;_._.&quot;$&quot;* \(#,##0.00\)_%;_._.&quot;$&quot;* \ ?_)_%"/>
    <numFmt numFmtId="214" formatCode="_._.&quot;$&quot;* #,##0.000_)_%;_._.&quot;$&quot;* \(#,##0.000\)_%;_._.&quot;$&quot;* \ ?_)_%"/>
    <numFmt numFmtId="215" formatCode="_._.&quot;$&quot;* #,##0.0000_)_%;_._.&quot;$&quot;* \(#,##0.0000\)_%;_._.&quot;$&quot;* \ ?_)_%"/>
    <numFmt numFmtId="216" formatCode="&quot;$&quot;#,##0,_);\(&quot;$&quot;#,##0,\)"/>
    <numFmt numFmtId="217" formatCode="&quot;$&quot;0.0,_);\(&quot;$&quot;0.0,\)"/>
    <numFmt numFmtId="218" formatCode="&quot;$&quot;0.00,_);\(&quot;$&quot;0.00,\)"/>
    <numFmt numFmtId="219" formatCode="_(* dd\-mmm\-yy_)_%"/>
    <numFmt numFmtId="220" formatCode="_(* dd\ mmmm\ yyyy_)_%"/>
    <numFmt numFmtId="221" formatCode="_(* mmmm\ dd\,\ yyyy_)_%"/>
    <numFmt numFmtId="222" formatCode="_(* dd\.mm\.yyyy_)_%"/>
    <numFmt numFmtId="223" formatCode="_(* mm/dd/yyyy_)_%"/>
    <numFmt numFmtId="224" formatCode="m/d/yy;@"/>
    <numFmt numFmtId="225" formatCode="#,##0.0\x_);\(#,##0.0\x\)"/>
    <numFmt numFmtId="226" formatCode="#,##0.00\x_);\(#,##0.00\x\)"/>
    <numFmt numFmtId="227" formatCode="[$€-2]\ #,##0_);\([$€-2]\ #,##0\)"/>
    <numFmt numFmtId="228" formatCode="[$€-2]\ #,##0.0_);\([$€-2]\ #,##0.0\)"/>
    <numFmt numFmtId="229" formatCode="General_)_%"/>
    <numFmt numFmtId="230" formatCode="_(_(#0_)_%;[Red]_(_(\-#0\)_%;[Green]_(_(#0_)_%;_(_(@_)_%"/>
    <numFmt numFmtId="231" formatCode="_(_(_•_ #0_)_%;[Red]_(_(_•_ \-#0\)_%;[Green]_(_(_•_ #0_)_%;_(_(_•_ @_)_%"/>
    <numFmt numFmtId="232" formatCode="_(_(_•_ _•_ #0_)_%;[Red]_(_(_•_ _•_ \-#0\)_%;[Green]_(_(_•_ _•_ #0_)_%;_(_(_•_ _•_ @_)_%"/>
    <numFmt numFmtId="233" formatCode="_(_(_•_ _•_ _•_ #0_)_%;[Red]_(_(_•_ _•_ _•_ \-#0\)_%;[Green]_(_(_•_ _•_ _•_ #0_)_%;_(_(_•_ _•_ _•_ @_)_%"/>
    <numFmt numFmtId="234" formatCode="#,##0\x;\(#,##0\x\)"/>
    <numFmt numFmtId="235" formatCode="0.0\x;\(0.0\x\)"/>
    <numFmt numFmtId="236" formatCode="#,##0.00\x;\(#,##0.00\x\)"/>
    <numFmt numFmtId="237" formatCode="#,##0.000\x;\(#,##0.000\x\)"/>
    <numFmt numFmtId="238" formatCode="0.0_);\(0.0\)"/>
    <numFmt numFmtId="239" formatCode="0%;\(0%\)"/>
    <numFmt numFmtId="240" formatCode="0.00\ \x_);\(0.00\ \x\)"/>
    <numFmt numFmtId="241" formatCode="_(* #,##0_);_(* \(#,##0\);_(* &quot;-&quot;????_);_(@_)"/>
    <numFmt numFmtId="242" formatCode="0__"/>
    <numFmt numFmtId="243" formatCode="h:mmAM/PM"/>
    <numFmt numFmtId="244" formatCode="0&quot; E&quot;"/>
    <numFmt numFmtId="245" formatCode="yyyy"/>
    <numFmt numFmtId="246" formatCode="0.0%;\(0.0%\)"/>
    <numFmt numFmtId="247" formatCode="0.00%_);\(0.00%\)"/>
    <numFmt numFmtId="248" formatCode="0.000%_);\(0.000%\)"/>
    <numFmt numFmtId="249" formatCode="_(0_)%;\(0\)%;\ \ ?_)%"/>
    <numFmt numFmtId="250" formatCode="_._._(* 0_)%;_._.* \(0\)%;_._._(* \ ?_)%"/>
    <numFmt numFmtId="251" formatCode="0%_);\(0%\)"/>
    <numFmt numFmtId="252" formatCode="_(* #,##0_)_%;[Red]_(* \(#,##0\)_%;[Green]_(* 0_)_%;_(@_)_%"/>
    <numFmt numFmtId="253" formatCode="_(* #,##0.0%_);[Red]_(* \-#,##0.0%_);[Green]_(* 0.0%_);_(@_)_%"/>
    <numFmt numFmtId="254" formatCode="_(* #,##0.00%_);[Red]_(* \-#,##0.00%_);[Green]_(* 0.00%_);_(@_)_%"/>
    <numFmt numFmtId="255" formatCode="_(* #,##0.000%_);[Red]_(* \-#,##0.000%_);[Green]_(* 0.000%_);_(@_)_%"/>
    <numFmt numFmtId="256" formatCode="_(0.0_)%;\(0.0\)%;\ \ ?_)%"/>
    <numFmt numFmtId="257" formatCode="_._._(* 0.0_)%;_._.* \(0.0\)%;_._._(* \ ?_)%"/>
    <numFmt numFmtId="258" formatCode="_(0.00_)%;\(0.00\)%;\ \ ?_)%"/>
    <numFmt numFmtId="259" formatCode="_._._(* 0.00_)%;_._.* \(0.00\)%;_._._(* \ ?_)%"/>
    <numFmt numFmtId="260" formatCode="_(0.000_)%;\(0.000\)%;\ \ ?_)%"/>
    <numFmt numFmtId="261" formatCode="_._._(* 0.000_)%;_._.* \(0.000\)%;_._._(* \ ?_)%"/>
    <numFmt numFmtId="262" formatCode="_(0.0000_)%;\(0.0000\)%;\ \ ?_)%"/>
    <numFmt numFmtId="263" formatCode="_._._(* 0.0000_)%;_._.* \(0.0000\)%;_._._(* \ ?_)%"/>
    <numFmt numFmtId="264" formatCode="mmmm\ dd\,\ yy"/>
    <numFmt numFmtId="265" formatCode="0.0\x"/>
    <numFmt numFmtId="266" formatCode="_(* #,##0_);_(* \(#,##0\);_(* \ ?_)"/>
    <numFmt numFmtId="267" formatCode="_(* #,##0.0_);_(* \(#,##0.0\);_(* \ ?_)"/>
    <numFmt numFmtId="268" formatCode="_(* #,##0.00_);_(* \(#,##0.00\);_(* \ ?_)"/>
    <numFmt numFmtId="269" formatCode="_(* #,##0.000_);_(* \(#,##0.000\);_(* \ ?_)"/>
    <numFmt numFmtId="270" formatCode="_(&quot;$&quot;* #,##0_);_(&quot;$&quot;* \(#,##0\);_(&quot;$&quot;* \ ?_)"/>
    <numFmt numFmtId="271" formatCode="_(&quot;$&quot;* #,##0.0_);_(&quot;$&quot;* \(#,##0.0\);_(&quot;$&quot;* \ ?_)"/>
    <numFmt numFmtId="272" formatCode="_(&quot;$&quot;* #,##0.00_);_(&quot;$&quot;* \(#,##0.00\);_(&quot;$&quot;* \ ?_)"/>
    <numFmt numFmtId="273" formatCode="_(&quot;$&quot;* #,##0.000_);_(&quot;$&quot;* \(#,##0.000\);_(&quot;$&quot;* \ ?_)"/>
    <numFmt numFmtId="274" formatCode="0000&quot;A&quot;"/>
    <numFmt numFmtId="275" formatCode="0&quot;E&quot;"/>
    <numFmt numFmtId="276" formatCode="0000&quot;E&quot;"/>
    <numFmt numFmtId="277" formatCode="&quot;$&quot;#,##0\ ;\(&quot;$&quot;#,##0\)"/>
    <numFmt numFmtId="278" formatCode="[$-409]m/d/yy\ h:mm\ AM/PM;@"/>
    <numFmt numFmtId="279" formatCode="_(&quot;$&quot;* #,##0.0000_);_(&quot;$&quot;* \(#,##0.0000\);_(&quot;$&quot;* &quot;-&quot;??_);_(@_)"/>
    <numFmt numFmtId="280" formatCode="[$-409]mmmm\ d\,\ yyyy;@"/>
  </numFmts>
  <fonts count="1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sz val="12"/>
      <color indexed="10"/>
      <name val="Arial"/>
      <family val="2"/>
    </font>
    <font>
      <b/>
      <sz val="10"/>
      <color indexed="10"/>
      <name val="Arial"/>
      <family val="2"/>
    </font>
    <font>
      <sz val="12"/>
      <name val="Arial MT"/>
    </font>
    <font>
      <b/>
      <sz val="14"/>
      <name val="Arial"/>
      <family val="2"/>
    </font>
    <font>
      <sz val="14"/>
      <name val="Arial"/>
      <family val="2"/>
    </font>
    <font>
      <b/>
      <i/>
      <sz val="12"/>
      <name val="Arial"/>
      <family val="2"/>
    </font>
    <font>
      <sz val="11"/>
      <name val="Arial"/>
      <family val="2"/>
    </font>
    <font>
      <b/>
      <sz val="16"/>
      <color indexed="10"/>
      <name val="Arial"/>
      <family val="2"/>
    </font>
    <font>
      <sz val="9"/>
      <name val="Arial"/>
      <family val="2"/>
    </font>
    <font>
      <b/>
      <sz val="16"/>
      <name val="Arial"/>
      <family val="2"/>
    </font>
    <font>
      <sz val="10"/>
      <name val="MS Sans Serif"/>
      <family val="2"/>
    </font>
    <font>
      <b/>
      <sz val="10"/>
      <name val="MS Sans Serif"/>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sz val="12"/>
      <name val="Arial"/>
      <family val="2"/>
    </font>
    <font>
      <b/>
      <u/>
      <sz val="12"/>
      <name val="Arial"/>
      <family val="2"/>
    </font>
    <font>
      <b/>
      <sz val="12"/>
      <color indexed="14"/>
      <name val="Arial"/>
      <family val="2"/>
    </font>
    <font>
      <i/>
      <u/>
      <sz val="12"/>
      <name val="Arial"/>
      <family val="2"/>
    </font>
    <font>
      <u/>
      <sz val="8"/>
      <name val="Arial"/>
      <family val="2"/>
    </font>
    <font>
      <u/>
      <sz val="12"/>
      <name val="Arial"/>
      <family val="2"/>
    </font>
    <font>
      <u/>
      <vertAlign val="superscript"/>
      <sz val="11"/>
      <name val="Arial"/>
      <family val="2"/>
    </font>
    <font>
      <vertAlign val="superscript"/>
      <sz val="11"/>
      <name val="Arial"/>
      <family val="2"/>
    </font>
    <font>
      <b/>
      <i/>
      <sz val="14"/>
      <name val="Arial"/>
      <family val="2"/>
    </font>
    <font>
      <b/>
      <i/>
      <sz val="12"/>
      <color indexed="10"/>
      <name val="Arial"/>
      <family val="2"/>
    </font>
    <font>
      <sz val="10"/>
      <name val="Courier"/>
      <family val="3"/>
    </font>
    <font>
      <sz val="10"/>
      <name val="Arial"/>
      <family val="2"/>
    </font>
    <font>
      <u/>
      <sz val="12"/>
      <color indexed="10"/>
      <name val="Arial"/>
      <family val="2"/>
    </font>
    <font>
      <b/>
      <u/>
      <sz val="12"/>
      <color indexed="10"/>
      <name val="Arial"/>
      <family val="2"/>
    </font>
    <font>
      <b/>
      <u/>
      <sz val="10"/>
      <color indexed="10"/>
      <name val="Arial"/>
      <family val="2"/>
    </font>
    <font>
      <sz val="11"/>
      <color indexed="8"/>
      <name val="Calibri"/>
      <family val="2"/>
    </font>
    <font>
      <u val="singleAccounting"/>
      <sz val="12"/>
      <name val="Arial"/>
      <family val="2"/>
    </font>
    <font>
      <sz val="10"/>
      <name val="Arial"/>
      <family val="2"/>
    </font>
    <font>
      <sz val="12"/>
      <color rgb="FFFF0000"/>
      <name val="Arial"/>
      <family val="2"/>
    </font>
    <font>
      <sz val="11"/>
      <color theme="1"/>
      <name val="Arial"/>
      <family val="2"/>
    </font>
    <font>
      <b/>
      <sz val="9"/>
      <name val="Arial"/>
      <family val="2"/>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63"/>
      <name val="Calibri"/>
      <family val="2"/>
    </font>
    <font>
      <sz val="10"/>
      <name val="Times New Roman"/>
      <family val="1"/>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i/>
      <sz val="16"/>
      <name val="Helv"/>
    </font>
    <font>
      <b/>
      <sz val="11"/>
      <color indexed="63"/>
      <name val="Calibri"/>
      <family val="2"/>
    </font>
    <font>
      <sz val="10"/>
      <name val="Tms Rmn"/>
    </font>
    <font>
      <b/>
      <sz val="10"/>
      <color indexed="8"/>
      <name val="Arial"/>
      <family val="2"/>
    </font>
    <font>
      <sz val="10"/>
      <color indexed="8"/>
      <name val="Arial"/>
      <family val="2"/>
    </font>
    <font>
      <sz val="12"/>
      <color indexed="8"/>
      <name val="Arial"/>
      <family val="2"/>
    </font>
    <font>
      <b/>
      <sz val="10"/>
      <name val="Garamond"/>
      <family val="1"/>
    </font>
    <font>
      <sz val="8.25"/>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sz val="20"/>
      <color rgb="FFFF0000"/>
      <name val="Arial"/>
      <family val="2"/>
    </font>
    <font>
      <u/>
      <sz val="16"/>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sz val="8"/>
      <name val="Arial"/>
      <family val="2"/>
    </font>
    <font>
      <u/>
      <sz val="10"/>
      <name val="Arial"/>
      <family val="2"/>
    </font>
    <font>
      <b/>
      <sz val="15"/>
      <color theme="3"/>
      <name val="Calibri"/>
      <family val="2"/>
      <scheme val="minor"/>
    </font>
    <font>
      <sz val="11"/>
      <color rgb="FFFA7D00"/>
      <name val="Calibri"/>
      <family val="2"/>
      <scheme val="minor"/>
    </font>
    <font>
      <sz val="10"/>
      <color theme="1"/>
      <name val="Arial"/>
      <family val="2"/>
    </font>
    <font>
      <b/>
      <sz val="10"/>
      <color rgb="FFFF0000"/>
      <name val="Arial"/>
      <family val="2"/>
    </font>
    <font>
      <b/>
      <sz val="11"/>
      <name val="Arial"/>
      <family val="2"/>
    </font>
    <font>
      <b/>
      <sz val="24"/>
      <name val="Arial Narrow"/>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4"/>
      <name val="Book Antiqua"/>
      <family val="1"/>
    </font>
    <font>
      <i/>
      <sz val="10"/>
      <name val="Book Antiqua"/>
      <family val="1"/>
    </font>
    <font>
      <sz val="8"/>
      <color indexed="38"/>
      <name val="Arial"/>
      <family val="2"/>
    </font>
    <font>
      <b/>
      <i/>
      <sz val="16"/>
      <name val="Arial"/>
      <family val="2"/>
    </font>
    <font>
      <b/>
      <sz val="12"/>
      <color indexed="32"/>
      <name val="Arial"/>
      <family val="2"/>
    </font>
    <font>
      <i/>
      <sz val="11"/>
      <name val="Arial"/>
      <family val="2"/>
    </font>
    <font>
      <sz val="12"/>
      <name val="Times New Roman"/>
      <family val="1"/>
    </font>
    <font>
      <sz val="10"/>
      <color indexed="12"/>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b/>
      <sz val="9"/>
      <name val="Times New Roman"/>
      <family val="1"/>
    </font>
    <font>
      <i/>
      <sz val="8"/>
      <name val="Times New Roman"/>
      <family val="1"/>
    </font>
    <font>
      <sz val="10"/>
      <color indexed="21"/>
      <name val="Arial"/>
      <family val="2"/>
    </font>
    <font>
      <b/>
      <sz val="8"/>
      <name val="Arial"/>
      <family val="2"/>
    </font>
    <font>
      <sz val="9"/>
      <name val="Helv"/>
    </font>
    <font>
      <sz val="10"/>
      <name val="Arial Narrow"/>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11"/>
      <color indexed="10"/>
      <name val="Arial Narrow"/>
      <family val="2"/>
    </font>
    <font>
      <b/>
      <sz val="12"/>
      <name val="Times New Roman"/>
      <family val="1"/>
    </font>
    <font>
      <b/>
      <sz val="18"/>
      <color theme="3"/>
      <name val="Cambria"/>
      <family val="2"/>
      <scheme val="major"/>
    </font>
    <font>
      <sz val="11"/>
      <color rgb="FF9C6500"/>
      <name val="Calibri"/>
      <family val="2"/>
      <scheme val="minor"/>
    </font>
    <font>
      <sz val="10"/>
      <color indexed="22"/>
      <name val="Arial"/>
      <family val="2"/>
    </font>
    <font>
      <b/>
      <sz val="18"/>
      <color indexed="22"/>
      <name val="Arial"/>
      <family val="2"/>
    </font>
    <font>
      <b/>
      <sz val="12"/>
      <color indexed="22"/>
      <name val="Arial"/>
      <family val="2"/>
    </font>
    <font>
      <sz val="12"/>
      <color rgb="FF0000FF"/>
      <name val="Arial"/>
      <family val="2"/>
    </font>
    <font>
      <sz val="12"/>
      <color rgb="FF0070C0"/>
      <name val="Arial"/>
      <family val="2"/>
    </font>
    <font>
      <sz val="12"/>
      <color rgb="FF00B0F0"/>
      <name val="Arial"/>
      <family val="2"/>
    </font>
    <font>
      <sz val="8"/>
      <name val="Arial"/>
      <family val="2"/>
    </font>
    <font>
      <b/>
      <sz val="16"/>
      <color rgb="FFFF0000"/>
      <name val="Arial"/>
      <family val="2"/>
    </font>
    <font>
      <b/>
      <sz val="12"/>
      <color rgb="FFFF0000"/>
      <name val="Arial"/>
      <family val="2"/>
    </font>
    <font>
      <sz val="10"/>
      <color rgb="FFD60093"/>
      <name val="Arial"/>
      <family val="2"/>
    </font>
    <font>
      <sz val="12"/>
      <color theme="3" tint="0.59999389629810485"/>
      <name val="Arial"/>
      <family val="2"/>
    </font>
  </fonts>
  <fills count="81">
    <fill>
      <patternFill patternType="none"/>
    </fill>
    <fill>
      <patternFill patternType="gray125"/>
    </fill>
    <fill>
      <patternFill patternType="mediumGray">
        <fgColor indexed="22"/>
      </patternFill>
    </fill>
    <fill>
      <patternFill patternType="solid">
        <fgColor indexed="26"/>
        <bgColor indexed="9"/>
      </patternFill>
    </fill>
    <fill>
      <patternFill patternType="solid">
        <fgColor indexed="22"/>
        <bgColor indexed="64"/>
      </patternFill>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41"/>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3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EB9C"/>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26"/>
        <bgColor indexed="64"/>
      </patternFill>
    </fill>
    <fill>
      <patternFill patternType="lightGray">
        <fgColor indexed="38"/>
        <bgColor indexed="23"/>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
      <left/>
      <right/>
      <top style="thin">
        <color indexed="62"/>
      </top>
      <bottom style="double">
        <color indexed="62"/>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right/>
      <top/>
      <bottom style="thick">
        <color theme="4"/>
      </bottom>
      <diagonal/>
    </border>
    <border>
      <left/>
      <right/>
      <top/>
      <bottom style="double">
        <color rgb="FFFF8001"/>
      </bottom>
      <diagonal/>
    </border>
    <border>
      <left/>
      <right/>
      <top style="double">
        <color indexed="64"/>
      </top>
      <bottom/>
      <diagonal/>
    </border>
    <border>
      <left/>
      <right/>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thin">
        <color indexed="64"/>
      </right>
      <top/>
      <bottom style="thin">
        <color indexed="64"/>
      </bottom>
      <diagonal/>
    </border>
  </borders>
  <cellStyleXfs count="10337">
    <xf numFmtId="0" fontId="0" fillId="0" borderId="0"/>
    <xf numFmtId="0" fontId="51" fillId="0" borderId="0"/>
    <xf numFmtId="43"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15" fillId="0" borderId="1"/>
    <xf numFmtId="44" fontId="15" fillId="0" borderId="0" applyFont="0" applyFill="0" applyBorder="0" applyAlignment="0" applyProtection="0"/>
    <xf numFmtId="44" fontId="15" fillId="0" borderId="0" applyFont="0" applyFill="0" applyBorder="0" applyAlignment="0" applyProtection="0"/>
    <xf numFmtId="175" fontId="5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30" fillId="0" borderId="2">
      <alignment horizontal="center"/>
    </xf>
    <xf numFmtId="3" fontId="29" fillId="0" borderId="0" applyFont="0" applyFill="0" applyBorder="0" applyAlignment="0" applyProtection="0"/>
    <xf numFmtId="0" fontId="29" fillId="2" borderId="0" applyNumberFormat="0" applyFont="0" applyBorder="0" applyAlignment="0" applyProtection="0"/>
    <xf numFmtId="0" fontId="22" fillId="3" borderId="0"/>
    <xf numFmtId="0" fontId="15" fillId="4" borderId="1" applyNumberFormat="0" applyFont="0" applyAlignment="0"/>
    <xf numFmtId="44" fontId="55"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55" fillId="0" borderId="0" applyFont="0" applyFill="0" applyBorder="0" applyAlignment="0" applyProtection="0"/>
    <xf numFmtId="0" fontId="57" fillId="0" borderId="0"/>
    <xf numFmtId="43" fontId="15" fillId="0" borderId="0" applyFont="0" applyFill="0" applyBorder="0" applyAlignment="0" applyProtection="0"/>
    <xf numFmtId="43" fontId="5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59" fillId="0" borderId="0"/>
    <xf numFmtId="9" fontId="13" fillId="0" borderId="0" applyFont="0" applyFill="0" applyBorder="0" applyAlignment="0" applyProtection="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5" fillId="0" borderId="0"/>
    <xf numFmtId="41"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1" fillId="0" borderId="0"/>
    <xf numFmtId="43" fontId="55" fillId="0" borderId="0" applyFont="0" applyFill="0" applyBorder="0" applyAlignment="0" applyProtection="0"/>
    <xf numFmtId="43" fontId="1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5" fillId="42" borderId="0" applyNumberFormat="0" applyBorder="0" applyAlignment="0" applyProtection="0"/>
    <xf numFmtId="0" fontId="55" fillId="43" borderId="0" applyNumberFormat="0" applyBorder="0" applyAlignment="0" applyProtection="0"/>
    <xf numFmtId="0" fontId="11" fillId="1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11" fillId="19"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4" borderId="0" applyNumberFormat="0" applyBorder="0" applyAlignment="0" applyProtection="0"/>
    <xf numFmtId="0" fontId="55" fillId="45" borderId="0" applyNumberFormat="0" applyBorder="0" applyAlignment="0" applyProtection="0"/>
    <xf numFmtId="0" fontId="11" fillId="23"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11" fillId="23"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6" borderId="0" applyNumberFormat="0" applyBorder="0" applyAlignment="0" applyProtection="0"/>
    <xf numFmtId="0" fontId="55" fillId="47" borderId="0" applyNumberFormat="0" applyBorder="0" applyAlignment="0" applyProtection="0"/>
    <xf numFmtId="0" fontId="11" fillId="2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11" fillId="27"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2" borderId="0" applyNumberFormat="0" applyBorder="0" applyAlignment="0" applyProtection="0"/>
    <xf numFmtId="0" fontId="55" fillId="48" borderId="0" applyNumberFormat="0" applyBorder="0" applyAlignment="0" applyProtection="0"/>
    <xf numFmtId="0" fontId="11" fillId="31"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11" fillId="31"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11" fillId="35"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11" fillId="35" borderId="0" applyNumberFormat="0" applyBorder="0" applyAlignment="0" applyProtection="0"/>
    <xf numFmtId="0" fontId="55" fillId="49" borderId="0" applyNumberFormat="0" applyBorder="0" applyAlignment="0" applyProtection="0"/>
    <xf numFmtId="0" fontId="55" fillId="49" borderId="0" applyNumberFormat="0" applyBorder="0" applyAlignment="0" applyProtection="0"/>
    <xf numFmtId="0" fontId="55" fillId="4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5" fillId="44"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11" fillId="20"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11" fillId="20"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5" fillId="55" borderId="0" applyNumberFormat="0" applyBorder="0" applyAlignment="0" applyProtection="0"/>
    <xf numFmtId="0" fontId="11" fillId="28"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11" fillId="28"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1" borderId="0" applyNumberFormat="0" applyBorder="0" applyAlignment="0" applyProtection="0"/>
    <xf numFmtId="0" fontId="55" fillId="48" borderId="0" applyNumberFormat="0" applyBorder="0" applyAlignment="0" applyProtection="0"/>
    <xf numFmtId="0" fontId="11" fillId="32"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11" fillId="32"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55" fillId="52" borderId="0" applyNumberFormat="0" applyBorder="0" applyAlignment="0" applyProtection="0"/>
    <xf numFmtId="0" fontId="55" fillId="44" borderId="0" applyNumberFormat="0" applyBorder="0" applyAlignment="0" applyProtection="0"/>
    <xf numFmtId="0" fontId="55" fillId="56" borderId="0" applyNumberFormat="0" applyBorder="0" applyAlignment="0" applyProtection="0"/>
    <xf numFmtId="0" fontId="11" fillId="40"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11"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3" fillId="57" borderId="0" applyNumberFormat="0" applyBorder="0" applyAlignment="0" applyProtection="0"/>
    <xf numFmtId="0" fontId="73" fillId="58" borderId="0" applyNumberFormat="0" applyBorder="0" applyAlignment="0" applyProtection="0"/>
    <xf numFmtId="0" fontId="72" fillId="21" borderId="0" applyNumberFormat="0" applyBorder="0" applyAlignment="0" applyProtection="0"/>
    <xf numFmtId="0" fontId="73" fillId="57" borderId="0" applyNumberFormat="0" applyBorder="0" applyAlignment="0" applyProtection="0"/>
    <xf numFmtId="0" fontId="73" fillId="53" borderId="0" applyNumberFormat="0" applyBorder="0" applyAlignment="0" applyProtection="0"/>
    <xf numFmtId="0" fontId="72" fillId="25" borderId="0" applyNumberFormat="0" applyBorder="0" applyAlignment="0" applyProtection="0"/>
    <xf numFmtId="0" fontId="73" fillId="53" borderId="0" applyNumberFormat="0" applyBorder="0" applyAlignment="0" applyProtection="0"/>
    <xf numFmtId="0" fontId="73" fillId="54" borderId="0" applyNumberFormat="0" applyBorder="0" applyAlignment="0" applyProtection="0"/>
    <xf numFmtId="0" fontId="73" fillId="55" borderId="0" applyNumberFormat="0" applyBorder="0" applyAlignment="0" applyProtection="0"/>
    <xf numFmtId="0" fontId="72" fillId="29" borderId="0" applyNumberFormat="0" applyBorder="0" applyAlignment="0" applyProtection="0"/>
    <xf numFmtId="0" fontId="73" fillId="54" borderId="0" applyNumberFormat="0" applyBorder="0" applyAlignment="0" applyProtection="0"/>
    <xf numFmtId="0" fontId="73" fillId="51" borderId="0" applyNumberFormat="0" applyBorder="0" applyAlignment="0" applyProtection="0"/>
    <xf numFmtId="0" fontId="73" fillId="59" borderId="0" applyNumberFormat="0" applyBorder="0" applyAlignment="0" applyProtection="0"/>
    <xf numFmtId="0" fontId="72" fillId="33"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2" fillId="37" borderId="0" applyNumberFormat="0" applyBorder="0" applyAlignment="0" applyProtection="0"/>
    <xf numFmtId="0" fontId="73" fillId="57" borderId="0" applyNumberFormat="0" applyBorder="0" applyAlignment="0" applyProtection="0"/>
    <xf numFmtId="0" fontId="73" fillId="44" borderId="0" applyNumberFormat="0" applyBorder="0" applyAlignment="0" applyProtection="0"/>
    <xf numFmtId="0" fontId="73" fillId="60" borderId="0" applyNumberFormat="0" applyBorder="0" applyAlignment="0" applyProtection="0"/>
    <xf numFmtId="0" fontId="72" fillId="41" borderId="0" applyNumberFormat="0" applyBorder="0" applyAlignment="0" applyProtection="0"/>
    <xf numFmtId="0" fontId="73" fillId="44" borderId="0" applyNumberFormat="0" applyBorder="0" applyAlignment="0" applyProtection="0"/>
    <xf numFmtId="0" fontId="73" fillId="57" borderId="0" applyNumberFormat="0" applyBorder="0" applyAlignment="0" applyProtection="0"/>
    <xf numFmtId="0" fontId="73" fillId="61" borderId="0" applyNumberFormat="0" applyBorder="0" applyAlignment="0" applyProtection="0"/>
    <xf numFmtId="0" fontId="72" fillId="18" borderId="0" applyNumberFormat="0" applyBorder="0" applyAlignment="0" applyProtection="0"/>
    <xf numFmtId="0" fontId="73" fillId="57" borderId="0" applyNumberFormat="0" applyBorder="0" applyAlignment="0" applyProtection="0"/>
    <xf numFmtId="0" fontId="73" fillId="62" borderId="0" applyNumberFormat="0" applyBorder="0" applyAlignment="0" applyProtection="0"/>
    <xf numFmtId="0" fontId="72" fillId="22" borderId="0" applyNumberFormat="0" applyBorder="0" applyAlignment="0" applyProtection="0"/>
    <xf numFmtId="0" fontId="73" fillId="62" borderId="0" applyNumberFormat="0" applyBorder="0" applyAlignment="0" applyProtection="0"/>
    <xf numFmtId="0" fontId="73" fillId="63" borderId="0" applyNumberFormat="0" applyBorder="0" applyAlignment="0" applyProtection="0"/>
    <xf numFmtId="0" fontId="72" fillId="26" borderId="0" applyNumberFormat="0" applyBorder="0" applyAlignment="0" applyProtection="0"/>
    <xf numFmtId="0" fontId="73" fillId="63" borderId="0" applyNumberFormat="0" applyBorder="0" applyAlignment="0" applyProtection="0"/>
    <xf numFmtId="0" fontId="73" fillId="64" borderId="0" applyNumberFormat="0" applyBorder="0" applyAlignment="0" applyProtection="0"/>
    <xf numFmtId="0" fontId="73" fillId="59" borderId="0" applyNumberFormat="0" applyBorder="0" applyAlignment="0" applyProtection="0"/>
    <xf numFmtId="0" fontId="72" fillId="30" borderId="0" applyNumberFormat="0" applyBorder="0" applyAlignment="0" applyProtection="0"/>
    <xf numFmtId="0" fontId="73" fillId="64" borderId="0" applyNumberFormat="0" applyBorder="0" applyAlignment="0" applyProtection="0"/>
    <xf numFmtId="0" fontId="73" fillId="57" borderId="0" applyNumberFormat="0" applyBorder="0" applyAlignment="0" applyProtection="0"/>
    <xf numFmtId="0" fontId="72" fillId="34" borderId="0" applyNumberFormat="0" applyBorder="0" applyAlignment="0" applyProtection="0"/>
    <xf numFmtId="0" fontId="73" fillId="57" borderId="0" applyNumberFormat="0" applyBorder="0" applyAlignment="0" applyProtection="0"/>
    <xf numFmtId="0" fontId="73" fillId="65" borderId="0" applyNumberFormat="0" applyBorder="0" applyAlignment="0" applyProtection="0"/>
    <xf numFmtId="0" fontId="72" fillId="38" borderId="0" applyNumberFormat="0" applyBorder="0" applyAlignment="0" applyProtection="0"/>
    <xf numFmtId="0" fontId="73" fillId="65" borderId="0" applyNumberFormat="0" applyBorder="0" applyAlignment="0" applyProtection="0"/>
    <xf numFmtId="0" fontId="74" fillId="45" borderId="0" applyNumberFormat="0" applyBorder="0" applyAlignment="0" applyProtection="0"/>
    <xf numFmtId="0" fontId="64" fillId="13" borderId="0" applyNumberFormat="0" applyBorder="0" applyAlignment="0" applyProtection="0"/>
    <xf numFmtId="0" fontId="74" fillId="45" borderId="0" applyNumberFormat="0" applyBorder="0" applyAlignment="0" applyProtection="0"/>
    <xf numFmtId="0" fontId="75" fillId="42" borderId="42" applyNumberFormat="0" applyAlignment="0" applyProtection="0"/>
    <xf numFmtId="0" fontId="75" fillId="51" borderId="42" applyNumberFormat="0" applyAlignment="0" applyProtection="0"/>
    <xf numFmtId="0" fontId="67" fillId="15" borderId="37" applyNumberFormat="0" applyAlignment="0" applyProtection="0"/>
    <xf numFmtId="0" fontId="75" fillId="42" borderId="42" applyNumberFormat="0" applyAlignment="0" applyProtection="0"/>
    <xf numFmtId="0" fontId="76" fillId="66" borderId="43" applyNumberFormat="0" applyAlignment="0" applyProtection="0"/>
    <xf numFmtId="0" fontId="68" fillId="16" borderId="39" applyNumberFormat="0" applyAlignment="0" applyProtection="0"/>
    <xf numFmtId="0" fontId="76" fillId="66" borderId="43" applyNumberFormat="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3" fontId="77" fillId="0" borderId="0" applyFont="0" applyFill="0" applyBorder="0" applyAlignment="0" applyProtection="0"/>
    <xf numFmtId="43" fontId="15" fillId="0" borderId="0" applyFont="0" applyFill="0" applyBorder="0" applyAlignment="0" applyProtection="0"/>
    <xf numFmtId="43" fontId="77" fillId="0" borderId="0" applyFont="0" applyFill="0" applyBorder="0" applyAlignment="0" applyProtection="0"/>
    <xf numFmtId="43" fontId="7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5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55" fillId="0" borderId="0" applyFont="0" applyFill="0" applyBorder="0" applyAlignment="0" applyProtection="0"/>
    <xf numFmtId="44" fontId="1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5" fontId="15" fillId="0" borderId="0" applyFill="0" applyBorder="0" applyAlignment="0" applyProtection="0"/>
    <xf numFmtId="178" fontId="15" fillId="0" borderId="0" applyFill="0" applyBorder="0" applyAlignment="0" applyProtection="0"/>
    <xf numFmtId="179" fontId="27" fillId="0" borderId="13">
      <alignment horizontal="center" vertical="center" wrapText="1"/>
    </xf>
    <xf numFmtId="0" fontId="79" fillId="0" borderId="0" applyNumberFormat="0" applyFill="0" applyBorder="0" applyAlignment="0" applyProtection="0"/>
    <xf numFmtId="0" fontId="70" fillId="0" borderId="0" applyNumberFormat="0" applyFill="0" applyBorder="0" applyAlignment="0" applyProtection="0"/>
    <xf numFmtId="0" fontId="79" fillId="0" borderId="0" applyNumberFormat="0" applyFill="0" applyBorder="0" applyAlignment="0" applyProtection="0"/>
    <xf numFmtId="2" fontId="15" fillId="0" borderId="0" applyFill="0" applyBorder="0" applyAlignment="0" applyProtection="0"/>
    <xf numFmtId="0" fontId="80" fillId="47" borderId="0" applyNumberFormat="0" applyBorder="0" applyAlignment="0" applyProtection="0"/>
    <xf numFmtId="0" fontId="63" fillId="12" borderId="0" applyNumberFormat="0" applyBorder="0" applyAlignment="0" applyProtection="0"/>
    <xf numFmtId="0" fontId="80" fillId="47" borderId="0" applyNumberFormat="0" applyBorder="0" applyAlignment="0" applyProtection="0"/>
    <xf numFmtId="0" fontId="60" fillId="4" borderId="13">
      <alignment horizontal="center" vertical="top" wrapText="1"/>
    </xf>
    <xf numFmtId="0" fontId="81" fillId="0" borderId="44" applyNumberFormat="0" applyFill="0" applyAlignment="0" applyProtection="0"/>
    <xf numFmtId="0" fontId="82" fillId="0" borderId="45" applyNumberFormat="0" applyFill="0" applyAlignment="0" applyProtection="0"/>
    <xf numFmtId="0" fontId="83" fillId="0" borderId="46" applyNumberFormat="0" applyFill="0" applyAlignment="0" applyProtection="0"/>
    <xf numFmtId="0" fontId="84" fillId="0" borderId="46" applyNumberFormat="0" applyFill="0" applyAlignment="0" applyProtection="0"/>
    <xf numFmtId="0" fontId="61" fillId="0" borderId="35" applyNumberFormat="0" applyFill="0" applyAlignment="0" applyProtection="0"/>
    <xf numFmtId="0" fontId="83" fillId="0" borderId="46" applyNumberFormat="0" applyFill="0" applyAlignment="0" applyProtection="0"/>
    <xf numFmtId="0" fontId="85" fillId="0" borderId="47" applyNumberFormat="0" applyFill="0" applyAlignment="0" applyProtection="0"/>
    <xf numFmtId="0" fontId="86" fillId="0" borderId="48" applyNumberFormat="0" applyFill="0" applyAlignment="0" applyProtection="0"/>
    <xf numFmtId="0" fontId="62" fillId="0" borderId="36" applyNumberFormat="0" applyFill="0" applyAlignment="0" applyProtection="0"/>
    <xf numFmtId="0" fontId="85" fillId="0" borderId="47" applyNumberFormat="0" applyFill="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44" borderId="42" applyNumberFormat="0" applyAlignment="0" applyProtection="0"/>
    <xf numFmtId="0" fontId="65" fillId="14" borderId="37" applyNumberFormat="0" applyAlignment="0" applyProtection="0"/>
    <xf numFmtId="0" fontId="88" fillId="44" borderId="42" applyNumberFormat="0" applyAlignment="0" applyProtection="0"/>
    <xf numFmtId="0" fontId="89" fillId="0" borderId="49" applyNumberFormat="0" applyFill="0" applyAlignment="0" applyProtection="0"/>
    <xf numFmtId="0" fontId="15" fillId="0" borderId="0" applyFont="0" applyFill="0" applyBorder="0" applyAlignment="0" applyProtection="0"/>
    <xf numFmtId="0" fontId="90" fillId="54" borderId="0" applyNumberFormat="0" applyBorder="0" applyAlignment="0" applyProtection="0"/>
    <xf numFmtId="180" fontId="9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55" fillId="0" borderId="0"/>
    <xf numFmtId="0" fontId="11" fillId="0" borderId="0"/>
    <xf numFmtId="0" fontId="55" fillId="0" borderId="0"/>
    <xf numFmtId="0" fontId="55" fillId="0" borderId="0"/>
    <xf numFmtId="0" fontId="5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5" fillId="0" borderId="0"/>
    <xf numFmtId="0" fontId="55" fillId="0" borderId="0"/>
    <xf numFmtId="0" fontId="11" fillId="0" borderId="0"/>
    <xf numFmtId="0" fontId="11" fillId="0" borderId="0"/>
    <xf numFmtId="0" fontId="11" fillId="0" borderId="0"/>
    <xf numFmtId="0" fontId="15" fillId="0" borderId="0"/>
    <xf numFmtId="0" fontId="11"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5" fontId="27" fillId="0" borderId="13">
      <alignment horizontal="right" vertical="center"/>
    </xf>
    <xf numFmtId="0" fontId="27" fillId="0" borderId="13">
      <alignment horizontal="left" vertical="center" wrapText="1"/>
    </xf>
    <xf numFmtId="1" fontId="60" fillId="4" borderId="13">
      <alignment horizontal="center" vertical="center" wrapText="1"/>
    </xf>
    <xf numFmtId="0" fontId="15" fillId="46" borderId="5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55" fillId="17" borderId="40" applyNumberFormat="0" applyFont="0" applyAlignment="0" applyProtection="0"/>
    <xf numFmtId="0" fontId="11" fillId="17" borderId="4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92" fillId="42" borderId="51" applyNumberFormat="0" applyAlignment="0" applyProtection="0"/>
    <xf numFmtId="0" fontId="92" fillId="51" borderId="51" applyNumberFormat="0" applyAlignment="0" applyProtection="0"/>
    <xf numFmtId="0" fontId="66" fillId="15" borderId="38" applyNumberFormat="0" applyAlignment="0" applyProtection="0"/>
    <xf numFmtId="0" fontId="92" fillId="42"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93" fillId="0" borderId="0">
      <alignment wrapText="1"/>
    </xf>
    <xf numFmtId="4" fontId="94" fillId="54" borderId="52" applyNumberFormat="0" applyProtection="0">
      <alignment vertical="center"/>
    </xf>
    <xf numFmtId="4" fontId="95" fillId="8" borderId="51" applyNumberFormat="0" applyProtection="0">
      <alignment horizontal="left" vertical="center" indent="1"/>
    </xf>
    <xf numFmtId="4" fontId="95" fillId="8"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4" borderId="51" applyNumberFormat="0" applyProtection="0">
      <alignment horizontal="left" vertical="center" indent="1"/>
    </xf>
    <xf numFmtId="0" fontId="15" fillId="4" borderId="51" applyNumberFormat="0" applyProtection="0">
      <alignment horizontal="left" vertical="center" indent="1"/>
    </xf>
    <xf numFmtId="4" fontId="96" fillId="6" borderId="52" applyNumberFormat="0" applyProtection="0">
      <alignment horizontal="right" vertical="center"/>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97" fillId="0" borderId="0" applyNumberFormat="0" applyFill="0" applyBorder="0" applyAlignment="0" applyProtection="0"/>
    <xf numFmtId="0" fontId="98" fillId="0" borderId="53">
      <alignment horizontal="center" vertical="center" wrapText="1"/>
    </xf>
    <xf numFmtId="0" fontId="99" fillId="0" borderId="0" applyNumberFormat="0" applyFill="0" applyBorder="0" applyAlignment="0" applyProtection="0"/>
    <xf numFmtId="0" fontId="100" fillId="0" borderId="0" applyNumberFormat="0" applyFill="0" applyBorder="0" applyAlignment="0" applyProtection="0"/>
    <xf numFmtId="0" fontId="101" fillId="0" borderId="54" applyNumberFormat="0" applyFill="0" applyAlignment="0" applyProtection="0"/>
    <xf numFmtId="0" fontId="101" fillId="0" borderId="55" applyNumberFormat="0" applyFill="0" applyAlignment="0" applyProtection="0"/>
    <xf numFmtId="0" fontId="71" fillId="0" borderId="41" applyNumberFormat="0" applyFill="0" applyAlignment="0" applyProtection="0"/>
    <xf numFmtId="0" fontId="101" fillId="0" borderId="54" applyNumberFormat="0" applyFill="0" applyAlignment="0" applyProtection="0"/>
    <xf numFmtId="0" fontId="102" fillId="0" borderId="0" applyNumberFormat="0" applyFill="0" applyBorder="0" applyAlignment="0" applyProtection="0"/>
    <xf numFmtId="0" fontId="69" fillId="0" borderId="0" applyNumberFormat="0" applyFill="0" applyBorder="0" applyAlignment="0" applyProtection="0"/>
    <xf numFmtId="0" fontId="102" fillId="0" borderId="0" applyNumberFormat="0" applyFill="0" applyBorder="0" applyAlignment="0" applyProtection="0"/>
    <xf numFmtId="0" fontId="15" fillId="0" borderId="0"/>
    <xf numFmtId="0" fontId="15"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9" fontId="8" fillId="0" borderId="0" applyFont="0" applyFill="0" applyBorder="0" applyAlignment="0" applyProtection="0"/>
    <xf numFmtId="0" fontId="15" fillId="0" borderId="0"/>
    <xf numFmtId="0" fontId="15" fillId="0" borderId="0"/>
    <xf numFmtId="0" fontId="15" fillId="0" borderId="0"/>
    <xf numFmtId="0" fontId="15"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15"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55" fillId="0" borderId="0" applyFont="0" applyFill="0" applyBorder="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4" fillId="0" borderId="0"/>
    <xf numFmtId="169" fontId="21" fillId="0" borderId="0" applyProtection="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43" fontId="29"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15"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15" fillId="0" borderId="0"/>
    <xf numFmtId="41" fontId="15" fillId="0" borderId="0" applyFont="0" applyFill="0" applyBorder="0" applyAlignment="0" applyProtection="0"/>
    <xf numFmtId="0" fontId="3" fillId="0" borderId="0"/>
    <xf numFmtId="44" fontId="3" fillId="0" borderId="0" applyFont="0" applyFill="0" applyBorder="0" applyAlignment="0" applyProtection="0"/>
    <xf numFmtId="43" fontId="15" fillId="0" borderId="0" applyFont="0" applyFill="0" applyBorder="0" applyAlignment="0" applyProtection="0"/>
    <xf numFmtId="0" fontId="15" fillId="0" borderId="0"/>
    <xf numFmtId="0" fontId="3" fillId="0" borderId="0"/>
    <xf numFmtId="43" fontId="3" fillId="0" borderId="0" applyFont="0" applyFill="0" applyBorder="0" applyAlignment="0" applyProtection="0"/>
    <xf numFmtId="41" fontId="15"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21" fillId="0" borderId="0" applyFont="0" applyFill="0" applyBorder="0" applyAlignment="0" applyProtection="0"/>
    <xf numFmtId="9" fontId="3" fillId="0" borderId="0" applyFont="0" applyFill="0" applyBorder="0" applyAlignment="0" applyProtection="0"/>
    <xf numFmtId="169" fontId="21" fillId="0" borderId="0" applyProtection="0"/>
    <xf numFmtId="0" fontId="18" fillId="0" borderId="0">
      <alignment vertical="top"/>
    </xf>
    <xf numFmtId="44" fontId="3" fillId="0" borderId="0" applyFont="0" applyFill="0" applyBorder="0" applyAlignment="0" applyProtection="0"/>
    <xf numFmtId="0" fontId="3" fillId="0" borderId="0"/>
    <xf numFmtId="169" fontId="21" fillId="0" borderId="0" applyProtection="0"/>
    <xf numFmtId="43" fontId="21" fillId="0" borderId="0" applyFont="0" applyFill="0" applyBorder="0" applyAlignment="0" applyProtection="0"/>
    <xf numFmtId="43" fontId="21" fillId="0" borderId="0" applyFont="0" applyFill="0" applyBorder="0" applyAlignment="0" applyProtection="0"/>
    <xf numFmtId="169" fontId="21" fillId="0" borderId="0" applyProtection="0"/>
    <xf numFmtId="43" fontId="21" fillId="0" borderId="0" applyFont="0" applyFill="0" applyBorder="0" applyAlignment="0" applyProtection="0"/>
    <xf numFmtId="169" fontId="21" fillId="0" borderId="0" applyProtection="0"/>
    <xf numFmtId="169" fontId="21" fillId="0" borderId="0" applyProtection="0"/>
    <xf numFmtId="0" fontId="15" fillId="0" borderId="0"/>
    <xf numFmtId="188" fontId="136" fillId="0" borderId="0" applyFont="0" applyFill="0" applyBorder="0" applyAlignment="0" applyProtection="0"/>
    <xf numFmtId="189" fontId="136" fillId="0" borderId="0" applyFont="0" applyFill="0" applyBorder="0" applyAlignment="0" applyProtection="0"/>
    <xf numFmtId="190" fontId="136" fillId="0" borderId="0" applyFont="0" applyFill="0" applyBorder="0" applyAlignment="0" applyProtection="0"/>
    <xf numFmtId="191" fontId="136" fillId="0" borderId="0" applyFont="0" applyFill="0" applyBorder="0" applyAlignment="0" applyProtection="0"/>
    <xf numFmtId="192" fontId="136" fillId="0" borderId="0" applyFont="0" applyFill="0" applyBorder="0" applyAlignment="0" applyProtection="0"/>
    <xf numFmtId="193" fontId="136" fillId="0" borderId="0" applyFont="0" applyFill="0" applyBorder="0" applyAlignment="0" applyProtection="0"/>
    <xf numFmtId="0" fontId="27" fillId="0" borderId="0"/>
    <xf numFmtId="194" fontId="15" fillId="71" borderId="0" applyNumberFormat="0" applyFill="0" applyBorder="0" applyAlignment="0" applyProtection="0">
      <alignment horizontal="right" vertical="center"/>
    </xf>
    <xf numFmtId="194" fontId="132" fillId="0" borderId="0" applyNumberFormat="0" applyFill="0" applyBorder="0" applyAlignment="0" applyProtection="0"/>
    <xf numFmtId="0" fontId="15" fillId="0" borderId="4" applyNumberFormat="0" applyFont="0" applyFill="0" applyAlignment="0" applyProtection="0"/>
    <xf numFmtId="195" fontId="131" fillId="0" borderId="0" applyFont="0" applyFill="0" applyBorder="0" applyAlignment="0" applyProtection="0"/>
    <xf numFmtId="196" fontId="136" fillId="0" borderId="0" applyFont="0" applyFill="0" applyBorder="0" applyProtection="0">
      <alignment horizontal="left"/>
    </xf>
    <xf numFmtId="197" fontId="136" fillId="0" borderId="0" applyFont="0" applyFill="0" applyBorder="0" applyProtection="0">
      <alignment horizontal="left"/>
    </xf>
    <xf numFmtId="198" fontId="136" fillId="0" borderId="0" applyFont="0" applyFill="0" applyBorder="0" applyProtection="0">
      <alignment horizontal="left"/>
    </xf>
    <xf numFmtId="37" fontId="137" fillId="0" borderId="0" applyFont="0" applyFill="0" applyBorder="0" applyAlignment="0" applyProtection="0">
      <alignment vertical="center"/>
      <protection locked="0"/>
    </xf>
    <xf numFmtId="199" fontId="78" fillId="0" borderId="0" applyFont="0" applyFill="0" applyBorder="0" applyAlignment="0" applyProtection="0"/>
    <xf numFmtId="0" fontId="138" fillId="0" borderId="0"/>
    <xf numFmtId="0" fontId="138" fillId="0" borderId="0"/>
    <xf numFmtId="169" fontId="33" fillId="0" borderId="0" applyFill="0"/>
    <xf numFmtId="169" fontId="33" fillId="0" borderId="0">
      <alignment horizontal="center"/>
    </xf>
    <xf numFmtId="0" fontId="33" fillId="0" borderId="0" applyFill="0">
      <alignment horizontal="center"/>
    </xf>
    <xf numFmtId="169" fontId="22" fillId="0" borderId="70" applyFill="0"/>
    <xf numFmtId="0" fontId="15" fillId="0" borderId="0" applyFont="0" applyAlignment="0"/>
    <xf numFmtId="0" fontId="48" fillId="0" borderId="0" applyFill="0">
      <alignment vertical="top"/>
    </xf>
    <xf numFmtId="0" fontId="22" fillId="0" borderId="0" applyFill="0">
      <alignment horizontal="left" vertical="top"/>
    </xf>
    <xf numFmtId="169" fontId="17" fillId="0" borderId="3" applyFill="0"/>
    <xf numFmtId="0" fontId="15" fillId="0" borderId="0" applyNumberFormat="0" applyFont="0" applyAlignment="0"/>
    <xf numFmtId="0" fontId="48" fillId="0" borderId="0" applyFill="0">
      <alignment wrapText="1"/>
    </xf>
    <xf numFmtId="0" fontId="22" fillId="0" borderId="0" applyFill="0">
      <alignment horizontal="left" vertical="top" wrapText="1"/>
    </xf>
    <xf numFmtId="169" fontId="115" fillId="0" borderId="0" applyFill="0"/>
    <xf numFmtId="0" fontId="116" fillId="0" borderId="0" applyNumberFormat="0" applyFont="0" applyAlignment="0">
      <alignment horizontal="center"/>
    </xf>
    <xf numFmtId="0" fontId="24" fillId="0" borderId="0" applyFill="0">
      <alignment vertical="top" wrapText="1"/>
    </xf>
    <xf numFmtId="0" fontId="17" fillId="0" borderId="0" applyFill="0">
      <alignment horizontal="left" vertical="top" wrapText="1"/>
    </xf>
    <xf numFmtId="169" fontId="15" fillId="0" borderId="0" applyFill="0"/>
    <xf numFmtId="0" fontId="116" fillId="0" borderId="0" applyNumberFormat="0" applyFont="0" applyAlignment="0">
      <alignment horizontal="center"/>
    </xf>
    <xf numFmtId="0" fontId="117" fillId="0" borderId="0" applyFill="0">
      <alignment vertical="center" wrapText="1"/>
    </xf>
    <xf numFmtId="0" fontId="18" fillId="0" borderId="0">
      <alignment horizontal="left" vertical="center" wrapText="1"/>
    </xf>
    <xf numFmtId="169" fontId="27" fillId="0" borderId="0" applyFill="0"/>
    <xf numFmtId="0" fontId="116" fillId="0" borderId="0" applyNumberFormat="0" applyFont="0" applyAlignment="0">
      <alignment horizontal="center"/>
    </xf>
    <xf numFmtId="0" fontId="118" fillId="0" borderId="0" applyFill="0">
      <alignment horizontal="center" vertical="center" wrapText="1"/>
    </xf>
    <xf numFmtId="0" fontId="15" fillId="0" borderId="0" applyFill="0">
      <alignment horizontal="center" vertical="center" wrapText="1"/>
    </xf>
    <xf numFmtId="0" fontId="15" fillId="0" borderId="0" applyFill="0">
      <alignment horizontal="center" vertical="center" wrapText="1"/>
    </xf>
    <xf numFmtId="169" fontId="119" fillId="0" borderId="0" applyFill="0"/>
    <xf numFmtId="0" fontId="116" fillId="0" borderId="0" applyNumberFormat="0" applyFont="0" applyAlignment="0">
      <alignment horizontal="center"/>
    </xf>
    <xf numFmtId="0" fontId="120" fillId="0" borderId="0" applyFill="0">
      <alignment horizontal="center" vertical="center" wrapText="1"/>
    </xf>
    <xf numFmtId="0" fontId="121" fillId="0" borderId="0" applyFill="0">
      <alignment horizontal="center" vertical="center" wrapText="1"/>
    </xf>
    <xf numFmtId="169" fontId="122" fillId="0" borderId="0" applyFill="0"/>
    <xf numFmtId="0" fontId="116" fillId="0" borderId="0" applyNumberFormat="0" applyFont="0" applyAlignment="0">
      <alignment horizontal="center"/>
    </xf>
    <xf numFmtId="0" fontId="123" fillId="0" borderId="0">
      <alignment horizontal="center" wrapText="1"/>
    </xf>
    <xf numFmtId="0" fontId="119" fillId="0" borderId="0" applyFill="0">
      <alignment horizontal="center" wrapText="1"/>
    </xf>
    <xf numFmtId="184" fontId="139" fillId="0" borderId="0" applyFont="0" applyFill="0" applyBorder="0" applyAlignment="0" applyProtection="0">
      <protection locked="0"/>
    </xf>
    <xf numFmtId="200" fontId="139" fillId="0" borderId="0" applyFont="0" applyFill="0" applyBorder="0" applyAlignment="0" applyProtection="0">
      <protection locked="0"/>
    </xf>
    <xf numFmtId="39" fontId="15" fillId="0" borderId="0" applyFont="0" applyFill="0" applyBorder="0" applyAlignment="0" applyProtection="0"/>
    <xf numFmtId="201" fontId="140" fillId="0" borderId="0" applyFont="0" applyFill="0" applyBorder="0" applyAlignment="0" applyProtection="0"/>
    <xf numFmtId="187" fontId="78" fillId="0" borderId="0" applyFont="0" applyFill="0" applyBorder="0" applyAlignment="0" applyProtection="0"/>
    <xf numFmtId="0" fontId="15" fillId="0" borderId="4" applyNumberFormat="0" applyFont="0" applyFill="0" applyBorder="0" applyProtection="0">
      <alignment horizontal="centerContinuous" vertical="center"/>
    </xf>
    <xf numFmtId="0" fontId="60" fillId="0" borderId="0" applyFill="0" applyBorder="0" applyProtection="0">
      <alignment horizontal="center"/>
      <protection locked="0"/>
    </xf>
    <xf numFmtId="0" fontId="15"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202" fontId="136" fillId="0" borderId="0" applyFont="0" applyFill="0" applyBorder="0" applyAlignment="0" applyProtection="0"/>
    <xf numFmtId="203" fontId="136" fillId="0" borderId="0" applyFont="0" applyFill="0" applyBorder="0" applyAlignment="0" applyProtection="0"/>
    <xf numFmtId="204" fontId="136" fillId="0" borderId="0" applyFont="0" applyFill="0" applyBorder="0" applyAlignment="0" applyProtection="0"/>
    <xf numFmtId="205" fontId="134" fillId="0" borderId="0" applyFont="0" applyFill="0" applyBorder="0" applyAlignment="0" applyProtection="0"/>
    <xf numFmtId="206" fontId="142" fillId="0" borderId="0" applyFont="0" applyFill="0" applyBorder="0" applyAlignment="0" applyProtection="0"/>
    <xf numFmtId="207" fontId="142" fillId="0" borderId="0" applyFont="0" applyFill="0" applyBorder="0" applyAlignment="0" applyProtection="0"/>
    <xf numFmtId="208" fontId="115" fillId="0" borderId="0" applyFont="0" applyFill="0" applyBorder="0" applyAlignment="0" applyProtection="0">
      <protection locked="0"/>
    </xf>
    <xf numFmtId="43" fontId="21" fillId="0" borderId="0" applyFont="0" applyFill="0" applyBorder="0" applyAlignment="0" applyProtection="0"/>
    <xf numFmtId="43" fontId="1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95" fillId="0" borderId="0" applyFont="0" applyFill="0" applyBorder="0" applyAlignment="0" applyProtection="0"/>
    <xf numFmtId="37" fontId="143" fillId="0" borderId="0" applyFill="0" applyBorder="0" applyAlignment="0" applyProtection="0"/>
    <xf numFmtId="3" fontId="15" fillId="0" borderId="0" applyFont="0" applyFill="0" applyBorder="0" applyAlignment="0" applyProtection="0"/>
    <xf numFmtId="0" fontId="22" fillId="0" borderId="0" applyFill="0" applyBorder="0" applyAlignment="0" applyProtection="0">
      <protection locked="0"/>
    </xf>
    <xf numFmtId="209" fontId="136" fillId="0" borderId="0" applyFont="0" applyFill="0" applyBorder="0" applyAlignment="0" applyProtection="0"/>
    <xf numFmtId="210" fontId="136" fillId="0" borderId="0" applyFont="0" applyFill="0" applyBorder="0" applyAlignment="0" applyProtection="0"/>
    <xf numFmtId="211" fontId="136" fillId="0" borderId="0" applyFont="0" applyFill="0" applyBorder="0" applyAlignment="0" applyProtection="0"/>
    <xf numFmtId="212" fontId="142" fillId="0" borderId="0" applyFont="0" applyFill="0" applyBorder="0" applyAlignment="0" applyProtection="0"/>
    <xf numFmtId="213" fontId="142" fillId="0" borderId="0" applyFont="0" applyFill="0" applyBorder="0" applyAlignment="0" applyProtection="0"/>
    <xf numFmtId="214" fontId="142" fillId="0" borderId="0" applyFont="0" applyFill="0" applyBorder="0" applyAlignment="0" applyProtection="0"/>
    <xf numFmtId="215" fontId="115" fillId="0" borderId="0" applyFont="0" applyFill="0" applyBorder="0" applyAlignment="0" applyProtection="0">
      <protection locked="0"/>
    </xf>
    <xf numFmtId="5" fontId="143"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6" fontId="78" fillId="0" borderId="0" applyFont="0" applyFill="0" applyBorder="0" applyAlignment="0" applyProtection="0"/>
    <xf numFmtId="186" fontId="15" fillId="0" borderId="0" applyFont="0" applyFill="0" applyBorder="0" applyAlignment="0" applyProtection="0"/>
    <xf numFmtId="217" fontId="139" fillId="0" borderId="0" applyFont="0" applyFill="0" applyBorder="0" applyAlignment="0" applyProtection="0">
      <protection locked="0"/>
    </xf>
    <xf numFmtId="7" fontId="33" fillId="0" borderId="0" applyFont="0" applyFill="0" applyBorder="0" applyAlignment="0" applyProtection="0"/>
    <xf numFmtId="218" fontId="140" fillId="0" borderId="0" applyFont="0" applyFill="0" applyBorder="0" applyAlignment="0" applyProtection="0"/>
    <xf numFmtId="185" fontId="144" fillId="0" borderId="0" applyFont="0" applyFill="0" applyBorder="0" applyAlignment="0" applyProtection="0"/>
    <xf numFmtId="0" fontId="145" fillId="72" borderId="71" applyNumberFormat="0" applyFont="0" applyFill="0" applyAlignment="0" applyProtection="0">
      <alignment horizontal="left" indent="1"/>
    </xf>
    <xf numFmtId="14" fontId="15" fillId="0" borderId="0" applyFont="0" applyFill="0" applyBorder="0" applyAlignment="0" applyProtection="0"/>
    <xf numFmtId="219" fontId="136" fillId="0" borderId="0" applyFont="0" applyFill="0" applyBorder="0" applyProtection="0"/>
    <xf numFmtId="220" fontId="136" fillId="0" borderId="0" applyFont="0" applyFill="0" applyBorder="0" applyProtection="0"/>
    <xf numFmtId="221" fontId="136" fillId="0" borderId="0" applyFont="0" applyFill="0" applyBorder="0" applyAlignment="0" applyProtection="0"/>
    <xf numFmtId="222" fontId="136" fillId="0" borderId="0" applyFont="0" applyFill="0" applyBorder="0" applyAlignment="0" applyProtection="0"/>
    <xf numFmtId="223" fontId="136" fillId="0" borderId="0" applyFont="0" applyFill="0" applyBorder="0" applyAlignment="0" applyProtection="0"/>
    <xf numFmtId="224" fontId="146" fillId="0" borderId="0" applyFont="0" applyFill="0" applyBorder="0" applyAlignment="0" applyProtection="0"/>
    <xf numFmtId="5" fontId="147" fillId="0" borderId="0" applyBorder="0"/>
    <xf numFmtId="186" fontId="147" fillId="0" borderId="0" applyBorder="0"/>
    <xf numFmtId="7" fontId="147" fillId="0" borderId="0" applyBorder="0"/>
    <xf numFmtId="37" fontId="147" fillId="0" borderId="0" applyBorder="0"/>
    <xf numFmtId="184" fontId="147" fillId="0" borderId="0" applyBorder="0"/>
    <xf numFmtId="225" fontId="147" fillId="0" borderId="0" applyBorder="0"/>
    <xf numFmtId="39" fontId="147" fillId="0" borderId="0" applyBorder="0"/>
    <xf numFmtId="226" fontId="147" fillId="0" borderId="0" applyBorder="0"/>
    <xf numFmtId="7" fontId="15" fillId="0" borderId="0" applyFont="0" applyFill="0" applyBorder="0" applyAlignment="0" applyProtection="0"/>
    <xf numFmtId="227" fontId="78" fillId="0" borderId="0" applyFont="0" applyFill="0" applyBorder="0" applyAlignment="0" applyProtection="0"/>
    <xf numFmtId="228" fontId="78" fillId="0" borderId="0" applyFont="0" applyFill="0" applyAlignment="0" applyProtection="0"/>
    <xf numFmtId="227" fontId="78" fillId="0" borderId="0" applyFont="0" applyFill="0" applyBorder="0" applyAlignment="0" applyProtection="0"/>
    <xf numFmtId="175" fontId="33" fillId="0" borderId="0" applyFont="0" applyFill="0" applyBorder="0" applyAlignment="0" applyProtection="0"/>
    <xf numFmtId="2" fontId="15" fillId="0" borderId="0" applyFont="0" applyFill="0" applyBorder="0" applyAlignment="0" applyProtection="0"/>
    <xf numFmtId="0" fontId="148" fillId="0" borderId="0"/>
    <xf numFmtId="184" fontId="149" fillId="0" borderId="0" applyNumberFormat="0" applyFill="0" applyBorder="0" applyAlignment="0" applyProtection="0"/>
    <xf numFmtId="0" fontId="33" fillId="0" borderId="0" applyFont="0" applyFill="0" applyBorder="0" applyAlignment="0" applyProtection="0"/>
    <xf numFmtId="0" fontId="136" fillId="0" borderId="0" applyFont="0" applyFill="0" applyBorder="0" applyProtection="0">
      <alignment horizontal="center" wrapText="1"/>
    </xf>
    <xf numFmtId="229" fontId="136" fillId="0" borderId="0" applyFont="0" applyFill="0" applyBorder="0" applyProtection="0">
      <alignment horizontal="right"/>
    </xf>
    <xf numFmtId="0" fontId="149" fillId="0" borderId="0" applyNumberFormat="0" applyFill="0" applyBorder="0" applyAlignment="0" applyProtection="0"/>
    <xf numFmtId="0" fontId="150" fillId="73" borderId="0" applyNumberFormat="0" applyFill="0" applyBorder="0" applyAlignment="0" applyProtection="0"/>
    <xf numFmtId="0" fontId="17" fillId="0" borderId="12" applyNumberFormat="0" applyAlignment="0" applyProtection="0">
      <alignment horizontal="left" vertical="center"/>
    </xf>
    <xf numFmtId="0" fontId="17" fillId="0" borderId="22">
      <alignment horizontal="left" vertical="center"/>
    </xf>
    <xf numFmtId="14" fontId="16" fillId="74" borderId="2">
      <alignment horizontal="center" vertical="center" wrapText="1"/>
    </xf>
    <xf numFmtId="0" fontId="124"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60" fillId="0" borderId="0" applyFill="0" applyAlignment="0" applyProtection="0">
      <protection locked="0"/>
    </xf>
    <xf numFmtId="0" fontId="60" fillId="0" borderId="4" applyFill="0" applyAlignment="0" applyProtection="0">
      <protection locked="0"/>
    </xf>
    <xf numFmtId="0" fontId="125" fillId="0" borderId="2"/>
    <xf numFmtId="0" fontId="126" fillId="0" borderId="0"/>
    <xf numFmtId="0" fontId="151" fillId="0" borderId="4" applyNumberFormat="0" applyFill="0" applyAlignment="0" applyProtection="0"/>
    <xf numFmtId="0" fontId="146" fillId="75" borderId="0" applyNumberFormat="0" applyFont="0" applyBorder="0" applyAlignment="0" applyProtection="0"/>
    <xf numFmtId="0" fontId="133" fillId="10" borderId="13" applyNumberFormat="0" applyAlignment="0" applyProtection="0"/>
    <xf numFmtId="230" fontId="136" fillId="0" borderId="0" applyFont="0" applyFill="0" applyBorder="0" applyProtection="0">
      <alignment horizontal="left"/>
    </xf>
    <xf numFmtId="231" fontId="136" fillId="0" borderId="0" applyFont="0" applyFill="0" applyBorder="0" applyProtection="0">
      <alignment horizontal="left"/>
    </xf>
    <xf numFmtId="232" fontId="136" fillId="0" borderId="0" applyFont="0" applyFill="0" applyBorder="0" applyProtection="0">
      <alignment horizontal="left"/>
    </xf>
    <xf numFmtId="233" fontId="136" fillId="0" borderId="0" applyFont="0" applyFill="0" applyBorder="0" applyProtection="0">
      <alignment horizontal="left"/>
    </xf>
    <xf numFmtId="10" fontId="33" fillId="76" borderId="13" applyNumberFormat="0" applyBorder="0" applyAlignment="0" applyProtection="0"/>
    <xf numFmtId="5" fontId="152" fillId="0" borderId="0" applyBorder="0"/>
    <xf numFmtId="186" fontId="152" fillId="0" borderId="0" applyBorder="0"/>
    <xf numFmtId="7" fontId="152" fillId="0" borderId="0" applyBorder="0"/>
    <xf numFmtId="37" fontId="152" fillId="0" borderId="0" applyBorder="0"/>
    <xf numFmtId="184" fontId="152" fillId="0" borderId="0" applyBorder="0"/>
    <xf numFmtId="225" fontId="152" fillId="0" borderId="0" applyBorder="0"/>
    <xf numFmtId="39" fontId="152" fillId="0" borderId="0" applyBorder="0"/>
    <xf numFmtId="226" fontId="152" fillId="0" borderId="0" applyBorder="0"/>
    <xf numFmtId="0" fontId="146" fillId="0" borderId="66" applyNumberFormat="0" applyFont="0" applyFill="0" applyAlignment="0" applyProtection="0"/>
    <xf numFmtId="0" fontId="153" fillId="0" borderId="0"/>
    <xf numFmtId="0" fontId="33" fillId="4" borderId="0"/>
    <xf numFmtId="234" fontId="15" fillId="0" borderId="0" applyFont="0" applyFill="0" applyBorder="0" applyAlignment="0" applyProtection="0"/>
    <xf numFmtId="235" fontId="15" fillId="0" borderId="0" applyFont="0" applyFill="0" applyBorder="0" applyAlignment="0" applyProtection="0"/>
    <xf numFmtId="236"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alignment horizontal="right"/>
    </xf>
    <xf numFmtId="238" fontId="15" fillId="0" borderId="0" applyFont="0" applyFill="0" applyBorder="0" applyAlignment="0" applyProtection="0"/>
    <xf numFmtId="37" fontId="154" fillId="0" borderId="0"/>
    <xf numFmtId="0" fontId="78" fillId="0" borderId="0"/>
    <xf numFmtId="0" fontId="2" fillId="0" borderId="0"/>
    <xf numFmtId="7" fontId="164" fillId="0" borderId="0"/>
    <xf numFmtId="0" fontId="134"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1" fillId="0" borderId="0" applyProtection="0"/>
    <xf numFmtId="0" fontId="2" fillId="0" borderId="0"/>
    <xf numFmtId="0" fontId="2" fillId="0" borderId="0"/>
    <xf numFmtId="0" fontId="2" fillId="0" borderId="0"/>
    <xf numFmtId="0" fontId="2" fillId="0" borderId="0"/>
    <xf numFmtId="0" fontId="131" fillId="77" borderId="0" applyNumberFormat="0" applyFont="0" applyBorder="0" applyAlignment="0"/>
    <xf numFmtId="239" fontId="15" fillId="0" borderId="0" applyFont="0" applyFill="0" applyBorder="0" applyAlignment="0" applyProtection="0"/>
    <xf numFmtId="240" fontId="155"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1" fontId="15" fillId="0" borderId="0"/>
    <xf numFmtId="242" fontId="78" fillId="0" borderId="0"/>
    <xf numFmtId="242" fontId="78" fillId="0" borderId="0"/>
    <xf numFmtId="240" fontId="155" fillId="0" borderId="0"/>
    <xf numFmtId="0" fontId="78" fillId="0" borderId="0"/>
    <xf numFmtId="240" fontId="143" fillId="0" borderId="0"/>
    <xf numFmtId="241" fontId="15" fillId="0" borderId="0"/>
    <xf numFmtId="242" fontId="78" fillId="0" borderId="0"/>
    <xf numFmtId="242" fontId="78" fillId="0" borderId="0"/>
    <xf numFmtId="0" fontId="78" fillId="0" borderId="0"/>
    <xf numFmtId="0" fontId="78" fillId="0" borderId="0"/>
    <xf numFmtId="243" fontId="78" fillId="0" borderId="0"/>
    <xf numFmtId="173" fontId="78" fillId="0" borderId="0"/>
    <xf numFmtId="244" fontId="78" fillId="0" borderId="0"/>
    <xf numFmtId="243" fontId="78" fillId="0" borderId="0"/>
    <xf numFmtId="173" fontId="78" fillId="0" borderId="0"/>
    <xf numFmtId="245" fontId="78" fillId="0" borderId="0"/>
    <xf numFmtId="245" fontId="78" fillId="0" borderId="0"/>
    <xf numFmtId="183" fontId="78" fillId="0" borderId="0"/>
    <xf numFmtId="244" fontId="78" fillId="0" borderId="0"/>
    <xf numFmtId="165" fontId="78" fillId="0" borderId="0"/>
    <xf numFmtId="183" fontId="78" fillId="0" borderId="0"/>
    <xf numFmtId="183" fontId="78" fillId="0" borderId="0"/>
    <xf numFmtId="0" fontId="78"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55" fillId="0" borderId="0"/>
    <xf numFmtId="240" fontId="155" fillId="0" borderId="0"/>
    <xf numFmtId="239" fontId="15" fillId="0" borderId="0" applyFont="0" applyFill="0" applyBorder="0" applyAlignment="0" applyProtection="0"/>
    <xf numFmtId="240" fontId="155" fillId="0" borderId="0"/>
    <xf numFmtId="240" fontId="155" fillId="0" borderId="0"/>
    <xf numFmtId="243" fontId="78" fillId="0" borderId="0"/>
    <xf numFmtId="173" fontId="78" fillId="0" borderId="0"/>
    <xf numFmtId="244" fontId="78" fillId="0" borderId="0"/>
    <xf numFmtId="243" fontId="78" fillId="0" borderId="0"/>
    <xf numFmtId="173" fontId="78" fillId="0" borderId="0"/>
    <xf numFmtId="245" fontId="78" fillId="0" borderId="0"/>
    <xf numFmtId="245" fontId="78" fillId="0" borderId="0"/>
    <xf numFmtId="183" fontId="78" fillId="0" borderId="0"/>
    <xf numFmtId="244" fontId="78" fillId="0" borderId="0"/>
    <xf numFmtId="165" fontId="78" fillId="0" borderId="0"/>
    <xf numFmtId="183" fontId="78" fillId="0" borderId="0"/>
    <xf numFmtId="183" fontId="78" fillId="0" borderId="0"/>
    <xf numFmtId="246" fontId="27" fillId="7" borderId="0" applyFont="0" applyFill="0" applyBorder="0" applyAlignment="0" applyProtection="0"/>
    <xf numFmtId="247" fontId="27" fillId="7" borderId="0" applyFont="0" applyFill="0" applyBorder="0" applyAlignment="0" applyProtection="0"/>
    <xf numFmtId="248" fontId="15" fillId="0" borderId="0" applyFont="0" applyFill="0" applyBorder="0" applyAlignment="0" applyProtection="0"/>
    <xf numFmtId="249" fontId="142" fillId="0" borderId="0" applyFont="0" applyFill="0" applyBorder="0" applyAlignment="0" applyProtection="0"/>
    <xf numFmtId="250" fontId="134" fillId="0" borderId="0" applyFont="0" applyFill="0" applyBorder="0" applyAlignment="0" applyProtection="0"/>
    <xf numFmtId="251" fontId="15" fillId="0" borderId="0" applyFont="0" applyFill="0" applyBorder="0" applyAlignment="0" applyProtection="0"/>
    <xf numFmtId="252" fontId="136" fillId="0" borderId="0" applyFont="0" applyFill="0" applyBorder="0" applyAlignment="0" applyProtection="0"/>
    <xf numFmtId="253" fontId="136" fillId="0" borderId="0" applyFont="0" applyFill="0" applyBorder="0" applyAlignment="0" applyProtection="0"/>
    <xf numFmtId="254" fontId="136" fillId="0" borderId="0" applyFont="0" applyFill="0" applyBorder="0" applyAlignment="0" applyProtection="0"/>
    <xf numFmtId="255" fontId="136" fillId="0" borderId="0" applyFont="0" applyFill="0" applyBorder="0" applyAlignment="0" applyProtection="0"/>
    <xf numFmtId="256" fontId="142" fillId="0" borderId="0" applyFont="0" applyFill="0" applyBorder="0" applyAlignment="0" applyProtection="0"/>
    <xf numFmtId="257" fontId="134" fillId="0" borderId="0" applyFont="0" applyFill="0" applyBorder="0" applyAlignment="0" applyProtection="0"/>
    <xf numFmtId="258" fontId="142" fillId="0" borderId="0" applyFont="0" applyFill="0" applyBorder="0" applyAlignment="0" applyProtection="0"/>
    <xf numFmtId="259" fontId="134" fillId="0" borderId="0" applyFont="0" applyFill="0" applyBorder="0" applyAlignment="0" applyProtection="0"/>
    <xf numFmtId="260" fontId="142" fillId="0" borderId="0" applyFont="0" applyFill="0" applyBorder="0" applyAlignment="0" applyProtection="0"/>
    <xf numFmtId="261" fontId="134" fillId="0" borderId="0" applyFont="0" applyFill="0" applyBorder="0" applyAlignment="0" applyProtection="0"/>
    <xf numFmtId="262" fontId="115" fillId="0" borderId="0" applyFont="0" applyFill="0" applyBorder="0" applyAlignment="0" applyProtection="0">
      <protection locked="0"/>
    </xf>
    <xf numFmtId="263" fontId="134" fillId="0" borderId="0" applyFont="0" applyFill="0" applyBorder="0" applyAlignment="0" applyProtection="0"/>
    <xf numFmtId="9" fontId="55" fillId="0" borderId="0" applyFont="0" applyFill="0" applyBorder="0" applyAlignment="0" applyProtection="0"/>
    <xf numFmtId="194" fontId="143" fillId="0" borderId="0" applyFill="0" applyBorder="0" applyAlignment="0" applyProtection="0"/>
    <xf numFmtId="9" fontId="147" fillId="0" borderId="0" applyBorder="0"/>
    <xf numFmtId="170" fontId="147" fillId="0" borderId="0" applyBorder="0"/>
    <xf numFmtId="10" fontId="147" fillId="0" borderId="0" applyBorder="0"/>
    <xf numFmtId="3" fontId="15" fillId="0" borderId="0">
      <alignment horizontal="left" vertical="top"/>
    </xf>
    <xf numFmtId="169" fontId="21" fillId="0" borderId="0" applyProtection="0"/>
    <xf numFmtId="3" fontId="15" fillId="0" borderId="0">
      <alignment horizontal="right" vertical="top"/>
    </xf>
    <xf numFmtId="41" fontId="18" fillId="4" borderId="72" applyFill="0"/>
    <xf numFmtId="0" fontId="127" fillId="0" borderId="0">
      <alignment horizontal="left" indent="7"/>
    </xf>
    <xf numFmtId="41" fontId="18" fillId="0" borderId="72" applyFill="0">
      <alignment horizontal="left" indent="2"/>
    </xf>
    <xf numFmtId="169" fontId="60" fillId="0" borderId="4" applyFill="0">
      <alignment horizontal="right"/>
    </xf>
    <xf numFmtId="0" fontId="16" fillId="0" borderId="13" applyNumberFormat="0" applyFont="0" applyBorder="0">
      <alignment horizontal="right"/>
    </xf>
    <xf numFmtId="0" fontId="128" fillId="0" borderId="0" applyFill="0"/>
    <xf numFmtId="0" fontId="17" fillId="0" borderId="0" applyFill="0"/>
    <xf numFmtId="4" fontId="60" fillId="0" borderId="4" applyFill="0"/>
    <xf numFmtId="0" fontId="15" fillId="0" borderId="0" applyNumberFormat="0" applyFont="0" applyBorder="0" applyAlignment="0"/>
    <xf numFmtId="0" fontId="24" fillId="0" borderId="0" applyFill="0">
      <alignment horizontal="left" indent="1"/>
    </xf>
    <xf numFmtId="0" fontId="129" fillId="0" borderId="0" applyFill="0">
      <alignment horizontal="left" indent="1"/>
    </xf>
    <xf numFmtId="4" fontId="27" fillId="0" borderId="0" applyFill="0"/>
    <xf numFmtId="0" fontId="15" fillId="0" borderId="0" applyNumberFormat="0" applyFont="0" applyFill="0" applyBorder="0" applyAlignment="0"/>
    <xf numFmtId="0" fontId="24" fillId="0" borderId="0" applyFill="0">
      <alignment horizontal="left" indent="2"/>
    </xf>
    <xf numFmtId="0" fontId="17" fillId="0" borderId="0" applyFill="0">
      <alignment horizontal="left" indent="2"/>
    </xf>
    <xf numFmtId="4" fontId="27" fillId="0" borderId="0" applyFill="0"/>
    <xf numFmtId="0" fontId="15" fillId="0" borderId="0" applyNumberFormat="0" applyFont="0" applyBorder="0" applyAlignment="0"/>
    <xf numFmtId="0" fontId="130" fillId="0" borderId="0">
      <alignment horizontal="left" indent="3"/>
    </xf>
    <xf numFmtId="0" fontId="25" fillId="0" borderId="0" applyFill="0">
      <alignment horizontal="left" indent="3"/>
    </xf>
    <xf numFmtId="4" fontId="27" fillId="0" borderId="0" applyFill="0"/>
    <xf numFmtId="0" fontId="15" fillId="0" borderId="0" applyNumberFormat="0" applyFont="0" applyBorder="0" applyAlignment="0"/>
    <xf numFmtId="0" fontId="118" fillId="0" borderId="0">
      <alignment horizontal="left" indent="4"/>
    </xf>
    <xf numFmtId="0" fontId="15" fillId="0" borderId="0" applyFill="0">
      <alignment horizontal="left" indent="4"/>
    </xf>
    <xf numFmtId="0" fontId="15" fillId="0" borderId="0" applyFill="0">
      <alignment horizontal="left" indent="4"/>
    </xf>
    <xf numFmtId="4" fontId="119" fillId="0" borderId="0" applyFill="0"/>
    <xf numFmtId="0" fontId="15" fillId="0" borderId="0" applyNumberFormat="0" applyFont="0" applyBorder="0" applyAlignment="0"/>
    <xf numFmtId="0" fontId="120" fillId="0" borderId="0">
      <alignment horizontal="left" indent="5"/>
    </xf>
    <xf numFmtId="0" fontId="121" fillId="0" borderId="0" applyFill="0">
      <alignment horizontal="left" indent="5"/>
    </xf>
    <xf numFmtId="4" fontId="122" fillId="0" borderId="0" applyFill="0"/>
    <xf numFmtId="0" fontId="15" fillId="0" borderId="0" applyNumberFormat="0" applyFont="0" applyFill="0" applyBorder="0" applyAlignment="0"/>
    <xf numFmtId="0" fontId="123" fillId="0" borderId="0" applyFill="0">
      <alignment horizontal="left" indent="6"/>
    </xf>
    <xf numFmtId="0" fontId="119" fillId="0" borderId="0" applyFill="0">
      <alignment horizontal="left" indent="6"/>
    </xf>
    <xf numFmtId="0" fontId="146" fillId="0" borderId="73" applyNumberFormat="0" applyFont="0" applyFill="0" applyAlignment="0" applyProtection="0"/>
    <xf numFmtId="0" fontId="156" fillId="0" borderId="0" applyNumberFormat="0" applyFill="0" applyBorder="0" applyAlignment="0" applyProtection="0"/>
    <xf numFmtId="0" fontId="157" fillId="0" borderId="0"/>
    <xf numFmtId="0" fontId="157" fillId="0" borderId="0"/>
    <xf numFmtId="0" fontId="135" fillId="0" borderId="2">
      <alignment horizontal="right"/>
    </xf>
    <xf numFmtId="264" fontId="144" fillId="0" borderId="0">
      <alignment horizontal="center"/>
    </xf>
    <xf numFmtId="265" fontId="158" fillId="0" borderId="0">
      <alignment horizontal="center"/>
    </xf>
    <xf numFmtId="0" fontId="159" fillId="0" borderId="0" applyNumberFormat="0" applyFill="0" applyBorder="0" applyAlignment="0" applyProtection="0"/>
    <xf numFmtId="0" fontId="95" fillId="0" borderId="0" applyNumberFormat="0" applyBorder="0" applyAlignment="0"/>
    <xf numFmtId="0" fontId="94" fillId="0" borderId="0" applyNumberFormat="0" applyBorder="0" applyAlignment="0"/>
    <xf numFmtId="0" fontId="146" fillId="72" borderId="0" applyNumberFormat="0" applyFont="0" applyBorder="0" applyAlignment="0" applyProtection="0"/>
    <xf numFmtId="246" fontId="160" fillId="0" borderId="22" applyNumberFormat="0" applyFont="0" applyFill="0" applyAlignment="0" applyProtection="0"/>
    <xf numFmtId="0" fontId="20" fillId="0" borderId="0" applyFill="0" applyBorder="0" applyProtection="0">
      <alignment horizontal="left" vertical="top"/>
    </xf>
    <xf numFmtId="0" fontId="16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162" fillId="0" borderId="0" applyNumberFormat="0" applyFill="0" applyBorder="0" applyAlignment="0" applyProtection="0"/>
    <xf numFmtId="266" fontId="134" fillId="0" borderId="0" applyFont="0" applyFill="0" applyBorder="0" applyAlignment="0" applyProtection="0"/>
    <xf numFmtId="267" fontId="134" fillId="0" borderId="0" applyFont="0" applyFill="0" applyBorder="0" applyAlignment="0" applyProtection="0"/>
    <xf numFmtId="268" fontId="134" fillId="0" borderId="0" applyFont="0" applyFill="0" applyBorder="0" applyAlignment="0" applyProtection="0"/>
    <xf numFmtId="269" fontId="134" fillId="0" borderId="0" applyFont="0" applyFill="0" applyBorder="0" applyAlignment="0" applyProtection="0"/>
    <xf numFmtId="270" fontId="134" fillId="0" borderId="0" applyFont="0" applyFill="0" applyBorder="0" applyAlignment="0" applyProtection="0"/>
    <xf numFmtId="271" fontId="134" fillId="0" borderId="0" applyFont="0" applyFill="0" applyBorder="0" applyAlignment="0" applyProtection="0"/>
    <xf numFmtId="272" fontId="134" fillId="0" borderId="0" applyFont="0" applyFill="0" applyBorder="0" applyAlignment="0" applyProtection="0"/>
    <xf numFmtId="273" fontId="134" fillId="0" borderId="0" applyFont="0" applyFill="0" applyBorder="0" applyAlignment="0" applyProtection="0"/>
    <xf numFmtId="274" fontId="163" fillId="72" borderId="74" applyFont="0" applyFill="0" applyBorder="0" applyAlignment="0" applyProtection="0"/>
    <xf numFmtId="274" fontId="78" fillId="0" borderId="0" applyFont="0" applyFill="0" applyBorder="0" applyAlignment="0" applyProtection="0"/>
    <xf numFmtId="275" fontId="140" fillId="0" borderId="0" applyFont="0" applyFill="0" applyBorder="0" applyAlignment="0" applyProtection="0"/>
    <xf numFmtId="276" fontId="144" fillId="0" borderId="22" applyFont="0" applyFill="0" applyBorder="0" applyAlignment="0" applyProtection="0">
      <alignment horizontal="right"/>
      <protection locked="0"/>
    </xf>
    <xf numFmtId="43" fontId="55" fillId="0" borderId="0" applyFont="0" applyFill="0" applyBorder="0" applyAlignment="0" applyProtection="0"/>
    <xf numFmtId="0" fontId="18" fillId="0" borderId="0"/>
    <xf numFmtId="43" fontId="9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2" fillId="0" borderId="0"/>
    <xf numFmtId="0" fontId="2" fillId="0" borderId="0"/>
    <xf numFmtId="0" fontId="2"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5" fillId="0" borderId="0"/>
    <xf numFmtId="0" fontId="29" fillId="0" borderId="0"/>
    <xf numFmtId="0" fontId="113" fillId="0" borderId="0"/>
    <xf numFmtId="0" fontId="113" fillId="0" borderId="0"/>
    <xf numFmtId="0" fontId="113" fillId="0" borderId="0"/>
    <xf numFmtId="0" fontId="113" fillId="0" borderId="0"/>
    <xf numFmtId="0" fontId="15"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66" fillId="43" borderId="0" applyNumberFormat="0" applyBorder="0" applyAlignment="0" applyProtection="0"/>
    <xf numFmtId="0" fontId="166" fillId="45" borderId="0" applyNumberFormat="0" applyBorder="0" applyAlignment="0" applyProtection="0"/>
    <xf numFmtId="0" fontId="166" fillId="47" borderId="0" applyNumberFormat="0" applyBorder="0" applyAlignment="0" applyProtection="0"/>
    <xf numFmtId="0" fontId="166" fillId="48" borderId="0" applyNumberFormat="0" applyBorder="0" applyAlignment="0" applyProtection="0"/>
    <xf numFmtId="0" fontId="166" fillId="50" borderId="0" applyNumberFormat="0" applyBorder="0" applyAlignment="0" applyProtection="0"/>
    <xf numFmtId="0" fontId="166" fillId="44" borderId="0" applyNumberFormat="0" applyBorder="0" applyAlignment="0" applyProtection="0"/>
    <xf numFmtId="0" fontId="166" fillId="52" borderId="0" applyNumberFormat="0" applyBorder="0" applyAlignment="0" applyProtection="0"/>
    <xf numFmtId="0" fontId="166" fillId="53" borderId="0" applyNumberFormat="0" applyBorder="0" applyAlignment="0" applyProtection="0"/>
    <xf numFmtId="0" fontId="166" fillId="55" borderId="0" applyNumberFormat="0" applyBorder="0" applyAlignment="0" applyProtection="0"/>
    <xf numFmtId="0" fontId="166" fillId="48" borderId="0" applyNumberFormat="0" applyBorder="0" applyAlignment="0" applyProtection="0"/>
    <xf numFmtId="0" fontId="166" fillId="52" borderId="0" applyNumberFormat="0" applyBorder="0" applyAlignment="0" applyProtection="0"/>
    <xf numFmtId="0" fontId="166" fillId="56" borderId="0" applyNumberFormat="0" applyBorder="0" applyAlignment="0" applyProtection="0"/>
    <xf numFmtId="0" fontId="167" fillId="58" borderId="0" applyNumberFormat="0" applyBorder="0" applyAlignment="0" applyProtection="0"/>
    <xf numFmtId="0" fontId="167" fillId="53" borderId="0" applyNumberFormat="0" applyBorder="0" applyAlignment="0" applyProtection="0"/>
    <xf numFmtId="0" fontId="167" fillId="55" borderId="0" applyNumberFormat="0" applyBorder="0" applyAlignment="0" applyProtection="0"/>
    <xf numFmtId="0" fontId="167" fillId="59" borderId="0" applyNumberFormat="0" applyBorder="0" applyAlignment="0" applyProtection="0"/>
    <xf numFmtId="0" fontId="167" fillId="57" borderId="0" applyNumberFormat="0" applyBorder="0" applyAlignment="0" applyProtection="0"/>
    <xf numFmtId="0" fontId="167" fillId="60" borderId="0" applyNumberFormat="0" applyBorder="0" applyAlignment="0" applyProtection="0"/>
    <xf numFmtId="0" fontId="167" fillId="61" borderId="0" applyNumberFormat="0" applyBorder="0" applyAlignment="0" applyProtection="0"/>
    <xf numFmtId="0" fontId="167" fillId="62" borderId="0" applyNumberFormat="0" applyBorder="0" applyAlignment="0" applyProtection="0"/>
    <xf numFmtId="0" fontId="167" fillId="63" borderId="0" applyNumberFormat="0" applyBorder="0" applyAlignment="0" applyProtection="0"/>
    <xf numFmtId="0" fontId="167" fillId="59" borderId="0" applyNumberFormat="0" applyBorder="0" applyAlignment="0" applyProtection="0"/>
    <xf numFmtId="0" fontId="167" fillId="57" borderId="0" applyNumberFormat="0" applyBorder="0" applyAlignment="0" applyProtection="0"/>
    <xf numFmtId="0" fontId="167" fillId="65" borderId="0" applyNumberFormat="0" applyBorder="0" applyAlignment="0" applyProtection="0"/>
    <xf numFmtId="0" fontId="168" fillId="45" borderId="0" applyNumberFormat="0" applyBorder="0" applyAlignment="0" applyProtection="0"/>
    <xf numFmtId="0" fontId="169" fillId="51" borderId="42" applyNumberFormat="0" applyAlignment="0" applyProtection="0"/>
    <xf numFmtId="0" fontId="170" fillId="66" borderId="43" applyNumberFormat="0" applyAlignment="0" applyProtection="0"/>
    <xf numFmtId="9" fontId="2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1" fillId="0" borderId="0" applyNumberFormat="0" applyFill="0" applyBorder="0" applyAlignment="0" applyProtection="0"/>
    <xf numFmtId="0" fontId="172" fillId="47" borderId="0" applyNumberFormat="0" applyBorder="0" applyAlignment="0" applyProtection="0"/>
    <xf numFmtId="43" fontId="29" fillId="0" borderId="0" applyFont="0" applyFill="0" applyBorder="0" applyAlignment="0" applyProtection="0"/>
    <xf numFmtId="0" fontId="173" fillId="0" borderId="48" applyNumberFormat="0" applyFill="0" applyAlignment="0" applyProtection="0"/>
    <xf numFmtId="0" fontId="173" fillId="0" borderId="0" applyNumberFormat="0" applyFill="0" applyBorder="0" applyAlignment="0" applyProtection="0"/>
    <xf numFmtId="0" fontId="174" fillId="44" borderId="42" applyNumberFormat="0" applyAlignment="0" applyProtection="0"/>
    <xf numFmtId="0" fontId="175" fillId="0" borderId="49" applyNumberFormat="0" applyFill="0" applyAlignment="0" applyProtection="0"/>
    <xf numFmtId="0" fontId="176" fillId="54" borderId="0" applyNumberFormat="0" applyBorder="0" applyAlignment="0" applyProtection="0"/>
    <xf numFmtId="43" fontId="2" fillId="0" borderId="0" applyFont="0" applyFill="0" applyBorder="0" applyAlignment="0" applyProtection="0"/>
    <xf numFmtId="0" fontId="15" fillId="0" borderId="0"/>
    <xf numFmtId="0" fontId="15" fillId="0" borderId="0"/>
    <xf numFmtId="43" fontId="2" fillId="0" borderId="0" applyFont="0" applyFill="0" applyBorder="0" applyAlignment="0" applyProtection="0"/>
    <xf numFmtId="0" fontId="21" fillId="46" borderId="50" applyNumberFormat="0" applyFont="0" applyAlignment="0" applyProtection="0"/>
    <xf numFmtId="0" fontId="177" fillId="51"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21" fillId="0" borderId="0" applyFont="0" applyFill="0" applyBorder="0" applyAlignment="0" applyProtection="0"/>
    <xf numFmtId="0" fontId="178" fillId="0" borderId="0" applyNumberFormat="0" applyFill="0" applyBorder="0" applyAlignment="0" applyProtection="0"/>
    <xf numFmtId="0" fontId="2" fillId="0" borderId="0"/>
    <xf numFmtId="0" fontId="2" fillId="0" borderId="0"/>
    <xf numFmtId="0" fontId="15" fillId="0" borderId="0"/>
    <xf numFmtId="0" fontId="165" fillId="0" borderId="0">
      <alignment vertical="top"/>
    </xf>
    <xf numFmtId="0" fontId="2" fillId="0" borderId="0"/>
    <xf numFmtId="169" fontId="21" fillId="0" borderId="0" applyProtection="0"/>
    <xf numFmtId="169" fontId="21" fillId="0" borderId="0" applyProtection="0"/>
    <xf numFmtId="0" fontId="15" fillId="0" borderId="0"/>
    <xf numFmtId="44" fontId="2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9" fontId="21" fillId="0" borderId="0" applyFont="0" applyFill="0" applyBorder="0" applyAlignment="0" applyProtection="0"/>
    <xf numFmtId="9" fontId="15" fillId="0" borderId="0" applyFont="0" applyFill="0" applyBorder="0" applyAlignment="0" applyProtection="0"/>
    <xf numFmtId="0" fontId="174" fillId="44" borderId="4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74" fillId="44" borderId="42" applyNumberFormat="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44" fontId="21" fillId="0" borderId="0" applyFont="0" applyFill="0" applyBorder="0" applyAlignment="0" applyProtection="0"/>
    <xf numFmtId="0" fontId="2"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55" fillId="43" borderId="0" applyNumberFormat="0" applyBorder="0" applyAlignment="0" applyProtection="0"/>
    <xf numFmtId="0" fontId="166" fillId="4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55" fillId="45" borderId="0" applyNumberFormat="0" applyBorder="0" applyAlignment="0" applyProtection="0"/>
    <xf numFmtId="0" fontId="166" fillId="4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55" fillId="47" borderId="0" applyNumberFormat="0" applyBorder="0" applyAlignment="0" applyProtection="0"/>
    <xf numFmtId="0" fontId="166" fillId="4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55" fillId="48" borderId="0" applyNumberFormat="0" applyBorder="0" applyAlignment="0" applyProtection="0"/>
    <xf numFmtId="0" fontId="166" fillId="4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55" fillId="50" borderId="0" applyNumberFormat="0" applyBorder="0" applyAlignment="0" applyProtection="0"/>
    <xf numFmtId="0" fontId="166" fillId="50"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166" fillId="44"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55" fillId="52" borderId="0" applyNumberFormat="0" applyBorder="0" applyAlignment="0" applyProtection="0"/>
    <xf numFmtId="0" fontId="166" fillId="5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166"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55" fillId="55" borderId="0" applyNumberFormat="0" applyBorder="0" applyAlignment="0" applyProtection="0"/>
    <xf numFmtId="0" fontId="166" fillId="55"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55" fillId="48" borderId="0" applyNumberFormat="0" applyBorder="0" applyAlignment="0" applyProtection="0"/>
    <xf numFmtId="0" fontId="166" fillId="4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166" fillId="52"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55" fillId="56" borderId="0" applyNumberFormat="0" applyBorder="0" applyAlignment="0" applyProtection="0"/>
    <xf numFmtId="0" fontId="166" fillId="56"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73" fillId="58" borderId="0" applyNumberFormat="0" applyBorder="0" applyAlignment="0" applyProtection="0"/>
    <xf numFmtId="0" fontId="167" fillId="58" borderId="0" applyNumberFormat="0" applyBorder="0" applyAlignment="0" applyProtection="0"/>
    <xf numFmtId="0" fontId="72" fillId="21"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167" fillId="53" borderId="0" applyNumberFormat="0" applyBorder="0" applyAlignment="0" applyProtection="0"/>
    <xf numFmtId="0" fontId="72" fillId="25"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73" fillId="55" borderId="0" applyNumberFormat="0" applyBorder="0" applyAlignment="0" applyProtection="0"/>
    <xf numFmtId="0" fontId="167" fillId="55" borderId="0" applyNumberFormat="0" applyBorder="0" applyAlignment="0" applyProtection="0"/>
    <xf numFmtId="0" fontId="72" fillId="29"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73" fillId="59" borderId="0" applyNumberFormat="0" applyBorder="0" applyAlignment="0" applyProtection="0"/>
    <xf numFmtId="0" fontId="167" fillId="59" borderId="0" applyNumberFormat="0" applyBorder="0" applyAlignment="0" applyProtection="0"/>
    <xf numFmtId="0" fontId="72" fillId="33"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67" fillId="57" borderId="0" applyNumberFormat="0" applyBorder="0" applyAlignment="0" applyProtection="0"/>
    <xf numFmtId="0" fontId="72" fillId="3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73" fillId="60" borderId="0" applyNumberFormat="0" applyBorder="0" applyAlignment="0" applyProtection="0"/>
    <xf numFmtId="0" fontId="167" fillId="60" borderId="0" applyNumberFormat="0" applyBorder="0" applyAlignment="0" applyProtection="0"/>
    <xf numFmtId="0" fontId="72" fillId="41"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73" fillId="61" borderId="0" applyNumberFormat="0" applyBorder="0" applyAlignment="0" applyProtection="0"/>
    <xf numFmtId="0" fontId="167" fillId="61" borderId="0" applyNumberFormat="0" applyBorder="0" applyAlignment="0" applyProtection="0"/>
    <xf numFmtId="0" fontId="72" fillId="18"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167" fillId="62" borderId="0" applyNumberFormat="0" applyBorder="0" applyAlignment="0" applyProtection="0"/>
    <xf numFmtId="0" fontId="72" fillId="2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73" fillId="63" borderId="0" applyNumberFormat="0" applyBorder="0" applyAlignment="0" applyProtection="0"/>
    <xf numFmtId="0" fontId="73" fillId="63" borderId="0" applyNumberFormat="0" applyBorder="0" applyAlignment="0" applyProtection="0"/>
    <xf numFmtId="0" fontId="167" fillId="63" borderId="0" applyNumberFormat="0" applyBorder="0" applyAlignment="0" applyProtection="0"/>
    <xf numFmtId="0" fontId="72" fillId="26"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73" fillId="59" borderId="0" applyNumberFormat="0" applyBorder="0" applyAlignment="0" applyProtection="0"/>
    <xf numFmtId="0" fontId="167" fillId="59" borderId="0" applyNumberFormat="0" applyBorder="0" applyAlignment="0" applyProtection="0"/>
    <xf numFmtId="0" fontId="72" fillId="30"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67" fillId="57" borderId="0" applyNumberFormat="0" applyBorder="0" applyAlignment="0" applyProtection="0"/>
    <xf numFmtId="0" fontId="72" fillId="34"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167" fillId="65" borderId="0" applyNumberFormat="0" applyBorder="0" applyAlignment="0" applyProtection="0"/>
    <xf numFmtId="0" fontId="72" fillId="38"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168" fillId="45" borderId="0" applyNumberFormat="0" applyBorder="0" applyAlignment="0" applyProtection="0"/>
    <xf numFmtId="0" fontId="64" fillId="13"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75" fillId="51" borderId="42" applyNumberFormat="0" applyAlignment="0" applyProtection="0"/>
    <xf numFmtId="0" fontId="169" fillId="51" borderId="42" applyNumberFormat="0" applyAlignment="0" applyProtection="0"/>
    <xf numFmtId="0" fontId="67" fillId="15" borderId="37" applyNumberFormat="0" applyAlignment="0" applyProtection="0"/>
    <xf numFmtId="0" fontId="169" fillId="51" borderId="42" applyNumberFormat="0" applyAlignment="0" applyProtection="0"/>
    <xf numFmtId="0" fontId="169" fillId="51" borderId="42" applyNumberFormat="0" applyAlignment="0" applyProtection="0"/>
    <xf numFmtId="0" fontId="169" fillId="51" borderId="42" applyNumberFormat="0" applyAlignment="0" applyProtection="0"/>
    <xf numFmtId="0" fontId="169" fillId="51" borderId="42" applyNumberFormat="0" applyAlignment="0" applyProtection="0"/>
    <xf numFmtId="0" fontId="76" fillId="66" borderId="43" applyNumberFormat="0" applyAlignment="0" applyProtection="0"/>
    <xf numFmtId="0" fontId="76" fillId="66" borderId="43" applyNumberFormat="0" applyAlignment="0" applyProtection="0"/>
    <xf numFmtId="0" fontId="170" fillId="66" borderId="43" applyNumberFormat="0" applyAlignment="0" applyProtection="0"/>
    <xf numFmtId="0" fontId="68" fillId="16" borderId="39" applyNumberFormat="0" applyAlignment="0" applyProtection="0"/>
    <xf numFmtId="0" fontId="170" fillId="66" borderId="43" applyNumberFormat="0" applyAlignment="0" applyProtection="0"/>
    <xf numFmtId="0" fontId="170" fillId="66" borderId="43" applyNumberFormat="0" applyAlignment="0" applyProtection="0"/>
    <xf numFmtId="0" fontId="170" fillId="66" borderId="43" applyNumberFormat="0" applyAlignment="0" applyProtection="0"/>
    <xf numFmtId="0" fontId="170" fillId="66" borderId="43" applyNumberFormat="0" applyAlignment="0" applyProtection="0"/>
    <xf numFmtId="40" fontId="29" fillId="0" borderId="0" applyFont="0" applyFill="0" applyBorder="0" applyAlignment="0" applyProtection="0"/>
    <xf numFmtId="40"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3" fontId="113"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3" fontId="182"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7" fontId="182" fillId="0" borderId="0" applyFont="0" applyFill="0" applyBorder="0" applyAlignment="0" applyProtection="0"/>
    <xf numFmtId="0" fontId="182"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171" fillId="0" borderId="0" applyNumberFormat="0" applyFill="0" applyBorder="0" applyAlignment="0" applyProtection="0"/>
    <xf numFmtId="0" fontId="70"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2" fontId="182" fillId="0" borderId="0" applyFont="0" applyFill="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72" fillId="47" borderId="0" applyNumberFormat="0" applyBorder="0" applyAlignment="0" applyProtection="0"/>
    <xf numFmtId="0" fontId="63" fillId="12"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24" fillId="0" borderId="0" applyFon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24" fillId="0" borderId="0" applyFont="0" applyFill="0" applyBorder="0" applyAlignment="0" applyProtection="0"/>
    <xf numFmtId="0" fontId="111" fillId="0" borderId="68" applyNumberFormat="0" applyFill="0" applyAlignment="0" applyProtection="0"/>
    <xf numFmtId="0"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7" fillId="0" borderId="0" applyFont="0" applyFill="0" applyBorder="0" applyAlignment="0" applyProtection="0"/>
    <xf numFmtId="0" fontId="61" fillId="0" borderId="35"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86" fillId="0" borderId="48" applyNumberFormat="0" applyFill="0" applyAlignment="0" applyProtection="0"/>
    <xf numFmtId="0" fontId="173" fillId="0" borderId="48" applyNumberFormat="0" applyFill="0" applyAlignment="0" applyProtection="0"/>
    <xf numFmtId="0" fontId="62" fillId="0" borderId="36"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86" fillId="0" borderId="0" applyNumberFormat="0" applyFill="0" applyBorder="0" applyAlignment="0" applyProtection="0"/>
    <xf numFmtId="0" fontId="173" fillId="0" borderId="0" applyNumberFormat="0" applyFill="0" applyBorder="0" applyAlignment="0" applyProtection="0"/>
    <xf numFmtId="0" fontId="62"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88" fillId="44" borderId="42" applyNumberFormat="0" applyAlignment="0" applyProtection="0"/>
    <xf numFmtId="0" fontId="65" fillId="14" borderId="37" applyNumberFormat="0" applyAlignment="0" applyProtection="0"/>
    <xf numFmtId="0" fontId="174" fillId="44" borderId="42" applyNumberFormat="0" applyAlignment="0" applyProtection="0"/>
    <xf numFmtId="0" fontId="174" fillId="44" borderId="42" applyNumberFormat="0" applyAlignment="0" applyProtection="0"/>
    <xf numFmtId="0" fontId="174" fillId="44" borderId="42" applyNumberFormat="0" applyAlignment="0" applyProtection="0"/>
    <xf numFmtId="0" fontId="174" fillId="44" borderId="42" applyNumberFormat="0" applyAlignment="0" applyProtection="0"/>
    <xf numFmtId="0" fontId="89" fillId="0" borderId="49" applyNumberFormat="0" applyFill="0" applyAlignment="0" applyProtection="0"/>
    <xf numFmtId="0" fontId="89" fillId="0" borderId="49" applyNumberFormat="0" applyFill="0" applyAlignment="0" applyProtection="0"/>
    <xf numFmtId="0" fontId="175" fillId="0" borderId="49" applyNumberFormat="0" applyFill="0" applyAlignment="0" applyProtection="0"/>
    <xf numFmtId="0" fontId="112" fillId="0" borderId="6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90" fillId="54" borderId="0" applyNumberFormat="0" applyBorder="0" applyAlignment="0" applyProtection="0"/>
    <xf numFmtId="0" fontId="90" fillId="54" borderId="0" applyNumberFormat="0" applyBorder="0" applyAlignment="0" applyProtection="0"/>
    <xf numFmtId="0" fontId="176" fillId="54" borderId="0" applyNumberFormat="0" applyBorder="0" applyAlignment="0" applyProtection="0"/>
    <xf numFmtId="0" fontId="181" fillId="70"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5" fillId="0" borderId="0"/>
    <xf numFmtId="0" fontId="29" fillId="0" borderId="0"/>
    <xf numFmtId="0" fontId="15" fillId="0" borderId="0"/>
    <xf numFmtId="0" fontId="29" fillId="0" borderId="0"/>
    <xf numFmtId="169" fontId="21" fillId="0" borderId="0" applyProtection="0"/>
    <xf numFmtId="0" fontId="29" fillId="0" borderId="0"/>
    <xf numFmtId="0" fontId="29" fillId="0" borderId="0"/>
    <xf numFmtId="169" fontId="21" fillId="0" borderId="0" applyProtection="0"/>
    <xf numFmtId="169" fontId="21" fillId="0" borderId="0" applyProtection="0"/>
    <xf numFmtId="0" fontId="29" fillId="0" borderId="0"/>
    <xf numFmtId="0" fontId="29" fillId="0" borderId="0"/>
    <xf numFmtId="0" fontId="29" fillId="0" borderId="0"/>
    <xf numFmtId="0" fontId="15" fillId="0" borderId="0"/>
    <xf numFmtId="0" fontId="15" fillId="0" borderId="0"/>
    <xf numFmtId="0" fontId="29" fillId="0" borderId="0"/>
    <xf numFmtId="0" fontId="29" fillId="0" borderId="0"/>
    <xf numFmtId="0" fontId="29" fillId="0" borderId="0"/>
    <xf numFmtId="0" fontId="29"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5" fillId="46" borderId="50" applyNumberFormat="0" applyFont="0" applyAlignment="0" applyProtection="0"/>
    <xf numFmtId="0" fontId="21" fillId="46" borderId="5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92" fillId="51" borderId="51" applyNumberFormat="0" applyAlignment="0" applyProtection="0"/>
    <xf numFmtId="0" fontId="177" fillId="51" borderId="51" applyNumberFormat="0" applyAlignment="0" applyProtection="0"/>
    <xf numFmtId="0" fontId="66" fillId="15" borderId="38" applyNumberFormat="0" applyAlignment="0" applyProtection="0"/>
    <xf numFmtId="0" fontId="177" fillId="51" borderId="51" applyNumberFormat="0" applyAlignment="0" applyProtection="0"/>
    <xf numFmtId="0" fontId="177" fillId="51" borderId="51" applyNumberFormat="0" applyAlignment="0" applyProtection="0"/>
    <xf numFmtId="0" fontId="177" fillId="51" borderId="51" applyNumberFormat="0" applyAlignment="0" applyProtection="0"/>
    <xf numFmtId="0" fontId="177" fillId="51" borderId="51" applyNumberFormat="0" applyAlignment="0" applyProtection="0"/>
    <xf numFmtId="9" fontId="5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100" fillId="0" borderId="0" applyNumberFormat="0" applyFill="0" applyBorder="0" applyAlignment="0" applyProtection="0"/>
    <xf numFmtId="0" fontId="18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5" fillId="0" borderId="0" applyFont="0" applyFill="0" applyBorder="0" applyAlignment="0" applyProtection="0"/>
    <xf numFmtId="0" fontId="182" fillId="0" borderId="70" applyNumberFormat="0" applyFont="0" applyFill="0" applyAlignment="0" applyProtection="0"/>
    <xf numFmtId="0" fontId="182" fillId="0" borderId="70" applyNumberFormat="0" applyFont="0" applyFill="0" applyAlignment="0" applyProtection="0"/>
    <xf numFmtId="0" fontId="15" fillId="0" borderId="0" applyFont="0" applyFill="0" applyBorder="0" applyAlignment="0" applyProtection="0"/>
    <xf numFmtId="0" fontId="71" fillId="0" borderId="41" applyNumberFormat="0" applyFill="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78" fillId="0" borderId="0" applyNumberFormat="0" applyFill="0" applyBorder="0" applyAlignment="0" applyProtection="0"/>
    <xf numFmtId="0" fontId="69"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3" fontId="15" fillId="0" borderId="0"/>
    <xf numFmtId="14" fontId="16" fillId="74" borderId="75">
      <alignment horizontal="center" vertical="center" wrapText="1"/>
    </xf>
    <xf numFmtId="0" fontId="125" fillId="0" borderId="75"/>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75">
      <alignment horizontal="center"/>
    </xf>
    <xf numFmtId="0" fontId="135" fillId="0" borderId="75">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5" fillId="0" borderId="0"/>
    <xf numFmtId="14" fontId="15" fillId="0" borderId="0" applyFont="0" applyFill="0" applyBorder="0" applyAlignment="0" applyProtection="0"/>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940">
    <xf numFmtId="0" fontId="0" fillId="0" borderId="0" xfId="0"/>
    <xf numFmtId="0" fontId="18" fillId="0" borderId="0" xfId="1" applyFont="1"/>
    <xf numFmtId="0" fontId="18" fillId="0" borderId="0" xfId="1" applyFont="1" applyAlignment="1">
      <alignment horizontal="left"/>
    </xf>
    <xf numFmtId="0" fontId="18" fillId="0" borderId="0" xfId="1" applyFont="1" applyAlignment="1">
      <alignment horizontal="right"/>
    </xf>
    <xf numFmtId="0" fontId="18" fillId="0" borderId="0" xfId="1" applyFont="1" applyAlignment="1">
      <alignment horizontal="center"/>
    </xf>
    <xf numFmtId="164" fontId="18" fillId="0" borderId="0" xfId="2" applyNumberFormat="1" applyFont="1"/>
    <xf numFmtId="0" fontId="18" fillId="0" borderId="4" xfId="1" applyFont="1" applyBorder="1"/>
    <xf numFmtId="0" fontId="24" fillId="0" borderId="0" xfId="1" applyFont="1" applyAlignment="1">
      <alignment horizontal="center"/>
    </xf>
    <xf numFmtId="0" fontId="31" fillId="0" borderId="0" xfId="1" applyFont="1"/>
    <xf numFmtId="0" fontId="28" fillId="0" borderId="0" xfId="1" applyFont="1"/>
    <xf numFmtId="164" fontId="18" fillId="0" borderId="0" xfId="2" applyNumberFormat="1" applyFont="1" applyFill="1" applyAlignment="1"/>
    <xf numFmtId="0" fontId="41" fillId="0" borderId="0" xfId="1" applyFont="1"/>
    <xf numFmtId="164" fontId="18" fillId="0" borderId="0" xfId="2" applyNumberFormat="1" applyFont="1" applyFill="1" applyBorder="1" applyAlignment="1"/>
    <xf numFmtId="0" fontId="19" fillId="0" borderId="0" xfId="1" applyFont="1"/>
    <xf numFmtId="164" fontId="18" fillId="0" borderId="0" xfId="2" applyNumberFormat="1" applyFont="1" applyAlignment="1"/>
    <xf numFmtId="0" fontId="18" fillId="0" borderId="0" xfId="1" applyFont="1" applyAlignment="1">
      <alignment horizontal="left" wrapText="1"/>
    </xf>
    <xf numFmtId="0" fontId="18" fillId="9" borderId="0" xfId="1" applyFont="1" applyFill="1"/>
    <xf numFmtId="164" fontId="18" fillId="0" borderId="0" xfId="2" applyNumberFormat="1" applyFont="1" applyFill="1" applyBorder="1"/>
    <xf numFmtId="0" fontId="23" fillId="0" borderId="0" xfId="1" applyFont="1"/>
    <xf numFmtId="3" fontId="18" fillId="0" borderId="0" xfId="1" applyNumberFormat="1" applyFont="1"/>
    <xf numFmtId="171" fontId="27" fillId="0" borderId="0" xfId="10" applyNumberFormat="1" applyFont="1" applyFill="1"/>
    <xf numFmtId="164" fontId="18" fillId="0" borderId="2" xfId="2" applyNumberFormat="1" applyFont="1" applyFill="1" applyBorder="1"/>
    <xf numFmtId="0" fontId="40" fillId="0" borderId="0" xfId="1" applyFont="1"/>
    <xf numFmtId="0" fontId="42" fillId="0" borderId="0" xfId="1" applyFont="1" applyAlignment="1">
      <alignment horizontal="center"/>
    </xf>
    <xf numFmtId="0" fontId="49" fillId="0" borderId="0" xfId="1" applyFont="1" applyAlignment="1">
      <alignment horizontal="center"/>
    </xf>
    <xf numFmtId="0" fontId="24" fillId="0" borderId="0" xfId="1" applyFont="1"/>
    <xf numFmtId="0" fontId="18" fillId="0" borderId="0" xfId="1" applyFont="1" applyAlignment="1">
      <alignment horizontal="right" wrapText="1"/>
    </xf>
    <xf numFmtId="164" fontId="18" fillId="0" borderId="0" xfId="2" applyNumberFormat="1" applyFont="1" applyAlignment="1">
      <alignment horizontal="left" wrapText="1"/>
    </xf>
    <xf numFmtId="0" fontId="40" fillId="0" borderId="0" xfId="1" applyFont="1" applyAlignment="1">
      <alignment horizontal="right"/>
    </xf>
    <xf numFmtId="37" fontId="18" fillId="0" borderId="0" xfId="1" applyNumberFormat="1" applyFont="1" applyAlignment="1">
      <alignment horizontal="right" wrapText="1"/>
    </xf>
    <xf numFmtId="41" fontId="18" fillId="0" borderId="0" xfId="1" applyNumberFormat="1" applyFont="1" applyAlignment="1">
      <alignment horizontal="right"/>
    </xf>
    <xf numFmtId="0" fontId="23" fillId="0" borderId="0" xfId="1" applyFont="1" applyAlignment="1">
      <alignment horizontal="center"/>
    </xf>
    <xf numFmtId="164" fontId="23" fillId="0" borderId="0" xfId="2" applyNumberFormat="1" applyFont="1" applyAlignment="1"/>
    <xf numFmtId="0" fontId="23" fillId="0" borderId="0" xfId="1" applyFont="1" applyAlignment="1">
      <alignment horizontal="right"/>
    </xf>
    <xf numFmtId="164" fontId="18" fillId="0" borderId="0" xfId="2" applyNumberFormat="1" applyFont="1" applyBorder="1"/>
    <xf numFmtId="3" fontId="18" fillId="0" borderId="0" xfId="2" applyNumberFormat="1" applyFont="1" applyFill="1"/>
    <xf numFmtId="167" fontId="18" fillId="0" borderId="0" xfId="9" applyNumberFormat="1" applyFont="1"/>
    <xf numFmtId="166" fontId="18" fillId="0" borderId="0" xfId="6" applyNumberFormat="1" applyFont="1" applyFill="1" applyBorder="1"/>
    <xf numFmtId="164" fontId="18" fillId="0" borderId="0" xfId="2" applyNumberFormat="1" applyFont="1" applyFill="1" applyBorder="1" applyAlignment="1">
      <alignment horizontal="left"/>
    </xf>
    <xf numFmtId="164" fontId="18" fillId="10" borderId="12" xfId="2" applyNumberFormat="1" applyFont="1" applyFill="1" applyBorder="1"/>
    <xf numFmtId="164" fontId="18" fillId="0" borderId="2" xfId="2" applyNumberFormat="1" applyFont="1" applyBorder="1"/>
    <xf numFmtId="3" fontId="18" fillId="0" borderId="0" xfId="6" applyNumberFormat="1" applyFont="1" applyFill="1" applyBorder="1"/>
    <xf numFmtId="167" fontId="18" fillId="0" borderId="0" xfId="9" applyNumberFormat="1" applyFont="1" applyFill="1" applyBorder="1"/>
    <xf numFmtId="10" fontId="18" fillId="0" borderId="0" xfId="9" applyNumberFormat="1" applyFont="1"/>
    <xf numFmtId="0" fontId="16" fillId="0" borderId="0" xfId="0" applyFont="1" applyAlignment="1">
      <alignment horizontal="center"/>
    </xf>
    <xf numFmtId="0" fontId="18" fillId="0" borderId="0" xfId="0" applyFont="1"/>
    <xf numFmtId="0" fontId="31" fillId="0" borderId="0" xfId="0" applyFont="1"/>
    <xf numFmtId="164" fontId="28" fillId="0" borderId="0" xfId="2" applyNumberFormat="1" applyFont="1" applyFill="1" applyAlignment="1"/>
    <xf numFmtId="3" fontId="18" fillId="0" borderId="22" xfId="1" applyNumberFormat="1" applyFont="1" applyBorder="1"/>
    <xf numFmtId="0" fontId="54" fillId="0" borderId="0" xfId="0" applyFont="1" applyAlignment="1">
      <alignment horizontal="center"/>
    </xf>
    <xf numFmtId="0" fontId="16" fillId="0" borderId="0" xfId="0" applyFont="1" applyAlignment="1">
      <alignment horizontal="center" wrapText="1"/>
    </xf>
    <xf numFmtId="0" fontId="16" fillId="0" borderId="15" xfId="0" applyFont="1" applyBorder="1" applyAlignment="1">
      <alignment horizontal="center" wrapText="1"/>
    </xf>
    <xf numFmtId="0" fontId="45" fillId="0" borderId="0" xfId="0" applyFont="1"/>
    <xf numFmtId="0" fontId="45" fillId="0" borderId="0" xfId="0" applyFont="1" applyAlignment="1">
      <alignment horizontal="center"/>
    </xf>
    <xf numFmtId="0" fontId="45" fillId="0" borderId="16" xfId="0" applyFont="1" applyBorder="1" applyAlignment="1">
      <alignment horizontal="left"/>
    </xf>
    <xf numFmtId="0" fontId="45" fillId="0" borderId="0" xfId="0" applyFont="1" applyAlignment="1">
      <alignment horizontal="left"/>
    </xf>
    <xf numFmtId="0" fontId="18" fillId="0" borderId="2" xfId="0" applyFont="1" applyBorder="1"/>
    <xf numFmtId="0" fontId="45" fillId="0" borderId="0" xfId="0" applyFont="1" applyAlignment="1">
      <alignment wrapText="1"/>
    </xf>
    <xf numFmtId="0" fontId="17" fillId="0" borderId="0" xfId="0" applyFont="1"/>
    <xf numFmtId="0" fontId="18" fillId="0" borderId="0" xfId="0" applyFont="1" applyAlignment="1">
      <alignment horizontal="center"/>
    </xf>
    <xf numFmtId="0" fontId="53" fillId="0" borderId="0" xfId="0" applyFont="1" applyAlignment="1">
      <alignment horizontal="center"/>
    </xf>
    <xf numFmtId="0" fontId="17" fillId="0" borderId="0" xfId="0" applyFont="1" applyAlignment="1">
      <alignment horizontal="center" wrapText="1"/>
    </xf>
    <xf numFmtId="0" fontId="52" fillId="0" borderId="0" xfId="0" applyFont="1"/>
    <xf numFmtId="0" fontId="17" fillId="0" borderId="15" xfId="0" applyFont="1" applyBorder="1" applyAlignment="1">
      <alignment horizontal="center" wrapText="1"/>
    </xf>
    <xf numFmtId="0" fontId="18" fillId="0" borderId="15" xfId="0" applyFont="1" applyBorder="1"/>
    <xf numFmtId="0" fontId="18" fillId="0" borderId="2" xfId="0" applyFont="1" applyBorder="1" applyAlignment="1">
      <alignment horizontal="center"/>
    </xf>
    <xf numFmtId="166" fontId="18" fillId="0" borderId="2" xfId="0" applyNumberFormat="1" applyFont="1" applyBorder="1" applyAlignment="1">
      <alignment horizontal="center"/>
    </xf>
    <xf numFmtId="0" fontId="19" fillId="0" borderId="2" xfId="0" applyFont="1" applyBorder="1"/>
    <xf numFmtId="0" fontId="18" fillId="0" borderId="9" xfId="0" applyFont="1" applyBorder="1"/>
    <xf numFmtId="0" fontId="15" fillId="0" borderId="0" xfId="20" applyAlignment="1">
      <alignment horizontal="center"/>
    </xf>
    <xf numFmtId="0" fontId="16" fillId="0" borderId="0" xfId="20" applyFont="1"/>
    <xf numFmtId="0" fontId="18" fillId="0" borderId="0" xfId="20" applyFont="1"/>
    <xf numFmtId="0" fontId="18" fillId="0" borderId="0" xfId="20" applyFont="1" applyAlignment="1">
      <alignment horizontal="center"/>
    </xf>
    <xf numFmtId="0" fontId="17" fillId="0" borderId="0" xfId="20" applyFont="1"/>
    <xf numFmtId="0" fontId="23" fillId="0" borderId="0" xfId="20" applyFont="1"/>
    <xf numFmtId="0" fontId="17" fillId="0" borderId="0" xfId="20" applyFont="1" applyAlignment="1">
      <alignment horizontal="centerContinuous"/>
    </xf>
    <xf numFmtId="37" fontId="18" fillId="0" borderId="0" xfId="20" applyNumberFormat="1" applyFont="1" applyAlignment="1">
      <alignment horizontal="left"/>
    </xf>
    <xf numFmtId="37" fontId="41" fillId="0" borderId="0" xfId="20" applyNumberFormat="1" applyFont="1" applyAlignment="1">
      <alignment horizontal="left"/>
    </xf>
    <xf numFmtId="0" fontId="17" fillId="0" borderId="0" xfId="20" applyFont="1" applyAlignment="1">
      <alignment horizontal="left"/>
    </xf>
    <xf numFmtId="0" fontId="17" fillId="0" borderId="0" xfId="20" applyFont="1" applyAlignment="1">
      <alignment horizontal="center"/>
    </xf>
    <xf numFmtId="0" fontId="17" fillId="10" borderId="11" xfId="20" applyFont="1" applyFill="1" applyBorder="1"/>
    <xf numFmtId="0" fontId="17" fillId="10" borderId="12" xfId="20" applyFont="1" applyFill="1" applyBorder="1"/>
    <xf numFmtId="0" fontId="17" fillId="10" borderId="12" xfId="20" applyFont="1" applyFill="1" applyBorder="1" applyAlignment="1">
      <alignment horizontal="center"/>
    </xf>
    <xf numFmtId="0" fontId="17" fillId="10" borderId="12" xfId="20" applyFont="1" applyFill="1" applyBorder="1" applyAlignment="1">
      <alignment wrapText="1"/>
    </xf>
    <xf numFmtId="0" fontId="18" fillId="0" borderId="7" xfId="20" applyFont="1" applyBorder="1" applyAlignment="1">
      <alignment horizontal="center"/>
    </xf>
    <xf numFmtId="0" fontId="17" fillId="0" borderId="8" xfId="20" applyFont="1" applyBorder="1"/>
    <xf numFmtId="0" fontId="18" fillId="0" borderId="8" xfId="20" applyFont="1" applyBorder="1"/>
    <xf numFmtId="0" fontId="18" fillId="0" borderId="8" xfId="20" applyFont="1" applyBorder="1" applyAlignment="1">
      <alignment horizontal="center"/>
    </xf>
    <xf numFmtId="0" fontId="18" fillId="0" borderId="24" xfId="20" applyFont="1" applyBorder="1"/>
    <xf numFmtId="0" fontId="18" fillId="0" borderId="16" xfId="20" applyFont="1" applyBorder="1" applyAlignment="1">
      <alignment horizontal="center"/>
    </xf>
    <xf numFmtId="0" fontId="18" fillId="0" borderId="0" xfId="20" applyFont="1" applyAlignment="1">
      <alignment horizontal="left"/>
    </xf>
    <xf numFmtId="3" fontId="18" fillId="0" borderId="0" xfId="20" applyNumberFormat="1" applyFont="1"/>
    <xf numFmtId="3" fontId="18" fillId="0" borderId="0" xfId="20" applyNumberFormat="1" applyFont="1" applyAlignment="1">
      <alignment horizontal="center"/>
    </xf>
    <xf numFmtId="3" fontId="18" fillId="0" borderId="0" xfId="20" applyNumberFormat="1" applyFont="1" applyAlignment="1">
      <alignment horizontal="left"/>
    </xf>
    <xf numFmtId="0" fontId="18" fillId="0" borderId="15" xfId="20" applyFont="1" applyBorder="1"/>
    <xf numFmtId="0" fontId="17" fillId="0" borderId="2" xfId="20" applyFont="1" applyBorder="1" applyAlignment="1">
      <alignment horizontal="left"/>
    </xf>
    <xf numFmtId="0" fontId="18" fillId="0" borderId="2" xfId="20" applyFont="1" applyBorder="1" applyAlignment="1">
      <alignment horizontal="left"/>
    </xf>
    <xf numFmtId="0" fontId="18" fillId="0" borderId="2" xfId="20" applyFont="1" applyBorder="1"/>
    <xf numFmtId="0" fontId="18" fillId="0" borderId="2" xfId="20" applyFont="1" applyBorder="1" applyAlignment="1">
      <alignment horizontal="center"/>
    </xf>
    <xf numFmtId="0" fontId="18" fillId="0" borderId="9" xfId="20" applyFont="1" applyBorder="1"/>
    <xf numFmtId="37" fontId="17" fillId="0" borderId="0" xfId="20" applyNumberFormat="1" applyFont="1" applyAlignment="1">
      <alignment horizontal="left"/>
    </xf>
    <xf numFmtId="0" fontId="18" fillId="10" borderId="12" xfId="20" applyFont="1" applyFill="1" applyBorder="1"/>
    <xf numFmtId="0" fontId="18" fillId="10" borderId="14" xfId="20" applyFont="1" applyFill="1" applyBorder="1"/>
    <xf numFmtId="0" fontId="17" fillId="0" borderId="16" xfId="20" applyFont="1" applyBorder="1"/>
    <xf numFmtId="0" fontId="17" fillId="0" borderId="0" xfId="20" applyFont="1" applyAlignment="1">
      <alignment wrapText="1"/>
    </xf>
    <xf numFmtId="0" fontId="18" fillId="0" borderId="6" xfId="20" applyFont="1" applyBorder="1" applyAlignment="1">
      <alignment horizontal="center"/>
    </xf>
    <xf numFmtId="3" fontId="17" fillId="10" borderId="12" xfId="20" applyNumberFormat="1" applyFont="1" applyFill="1" applyBorder="1" applyAlignment="1">
      <alignment horizontal="center" wrapText="1"/>
    </xf>
    <xf numFmtId="0" fontId="18" fillId="0" borderId="7" xfId="20" applyFont="1" applyBorder="1"/>
    <xf numFmtId="0" fontId="17" fillId="0" borderId="8" xfId="20" applyFont="1" applyBorder="1" applyAlignment="1">
      <alignment horizontal="left"/>
    </xf>
    <xf numFmtId="0" fontId="18" fillId="0" borderId="8" xfId="20" applyFont="1" applyBorder="1" applyAlignment="1">
      <alignment horizontal="left"/>
    </xf>
    <xf numFmtId="3" fontId="17" fillId="0" borderId="8" xfId="20" applyNumberFormat="1" applyFont="1" applyBorder="1" applyAlignment="1">
      <alignment horizontal="center"/>
    </xf>
    <xf numFmtId="167" fontId="18" fillId="0" borderId="8" xfId="20" applyNumberFormat="1" applyFont="1" applyBorder="1"/>
    <xf numFmtId="0" fontId="18" fillId="0" borderId="15" xfId="20" applyFont="1" applyBorder="1" applyAlignment="1">
      <alignment horizontal="center" wrapText="1"/>
    </xf>
    <xf numFmtId="167" fontId="17" fillId="0" borderId="0" xfId="2" applyNumberFormat="1" applyFont="1" applyFill="1" applyBorder="1"/>
    <xf numFmtId="0" fontId="17" fillId="0" borderId="2" xfId="20" applyFont="1" applyBorder="1"/>
    <xf numFmtId="3" fontId="18" fillId="0" borderId="8" xfId="20" applyNumberFormat="1" applyFont="1" applyBorder="1" applyAlignment="1">
      <alignment horizontal="center"/>
    </xf>
    <xf numFmtId="167" fontId="18" fillId="0" borderId="0" xfId="20" applyNumberFormat="1" applyFont="1"/>
    <xf numFmtId="166" fontId="18" fillId="0" borderId="2" xfId="6" applyNumberFormat="1" applyFont="1" applyFill="1" applyBorder="1"/>
    <xf numFmtId="0" fontId="17" fillId="10" borderId="7" xfId="20" applyFont="1" applyFill="1" applyBorder="1"/>
    <xf numFmtId="0" fontId="17" fillId="10" borderId="8" xfId="20" applyFont="1" applyFill="1" applyBorder="1"/>
    <xf numFmtId="0" fontId="17" fillId="10" borderId="8" xfId="20" applyFont="1" applyFill="1" applyBorder="1" applyAlignment="1">
      <alignment horizontal="center"/>
    </xf>
    <xf numFmtId="0" fontId="17" fillId="10" borderId="8" xfId="20" applyFont="1" applyFill="1" applyBorder="1" applyAlignment="1">
      <alignment wrapText="1"/>
    </xf>
    <xf numFmtId="3" fontId="18" fillId="0" borderId="15" xfId="20" applyNumberFormat="1" applyFont="1" applyBorder="1" applyAlignment="1">
      <alignment horizontal="center"/>
    </xf>
    <xf numFmtId="3" fontId="18" fillId="0" borderId="9" xfId="20" applyNumberFormat="1" applyFont="1" applyBorder="1" applyAlignment="1">
      <alignment horizontal="center"/>
    </xf>
    <xf numFmtId="0" fontId="17" fillId="0" borderId="7" xfId="20" applyFont="1" applyBorder="1"/>
    <xf numFmtId="0" fontId="17" fillId="0" borderId="8" xfId="20" applyFont="1" applyBorder="1" applyAlignment="1">
      <alignment horizontal="center"/>
    </xf>
    <xf numFmtId="0" fontId="17" fillId="0" borderId="8" xfId="20" applyFont="1" applyBorder="1" applyAlignment="1">
      <alignment wrapText="1"/>
    </xf>
    <xf numFmtId="0" fontId="17" fillId="0" borderId="8" xfId="20" applyFont="1" applyBorder="1" applyAlignment="1">
      <alignment horizontal="center" wrapText="1"/>
    </xf>
    <xf numFmtId="0" fontId="17" fillId="0" borderId="24" xfId="20" applyFont="1" applyBorder="1" applyAlignment="1">
      <alignment horizontal="center" wrapText="1"/>
    </xf>
    <xf numFmtId="3" fontId="18" fillId="0" borderId="15" xfId="20" applyNumberFormat="1" applyFont="1" applyBorder="1" applyAlignment="1">
      <alignment horizontal="right"/>
    </xf>
    <xf numFmtId="0" fontId="17" fillId="0" borderId="15" xfId="20" applyFont="1" applyBorder="1" applyAlignment="1">
      <alignment horizontal="center"/>
    </xf>
    <xf numFmtId="0" fontId="18" fillId="0" borderId="6" xfId="20" applyFont="1" applyBorder="1"/>
    <xf numFmtId="0" fontId="18" fillId="0" borderId="15" xfId="20" applyFont="1" applyBorder="1" applyAlignment="1">
      <alignment horizontal="center"/>
    </xf>
    <xf numFmtId="164" fontId="18" fillId="0" borderId="2" xfId="20" applyNumberFormat="1" applyFont="1" applyBorder="1" applyAlignment="1">
      <alignment horizontal="center"/>
    </xf>
    <xf numFmtId="0" fontId="18" fillId="0" borderId="9" xfId="20" applyFont="1" applyBorder="1" applyAlignment="1">
      <alignment horizontal="center"/>
    </xf>
    <xf numFmtId="0" fontId="18" fillId="0" borderId="0" xfId="20" applyFont="1" applyAlignment="1">
      <alignment horizontal="right"/>
    </xf>
    <xf numFmtId="0" fontId="18" fillId="0" borderId="2" xfId="20" applyFont="1" applyBorder="1" applyAlignment="1">
      <alignment horizontal="right"/>
    </xf>
    <xf numFmtId="0" fontId="18" fillId="0" borderId="0" xfId="20" applyFont="1" applyAlignment="1">
      <alignment horizontal="left" wrapText="1"/>
    </xf>
    <xf numFmtId="164" fontId="17" fillId="0" borderId="0" xfId="2" applyNumberFormat="1" applyFont="1" applyFill="1" applyBorder="1"/>
    <xf numFmtId="3" fontId="18" fillId="0" borderId="2" xfId="20" applyNumberFormat="1" applyFont="1" applyBorder="1"/>
    <xf numFmtId="3" fontId="18" fillId="0" borderId="2" xfId="20" applyNumberFormat="1" applyFont="1" applyBorder="1" applyAlignment="1">
      <alignment horizontal="left"/>
    </xf>
    <xf numFmtId="167" fontId="17" fillId="0" borderId="0" xfId="20" applyNumberFormat="1" applyFont="1" applyAlignment="1">
      <alignment horizontal="left"/>
    </xf>
    <xf numFmtId="169" fontId="18" fillId="0" borderId="0" xfId="20" applyNumberFormat="1" applyFont="1"/>
    <xf numFmtId="167" fontId="18" fillId="0" borderId="0" xfId="9" applyNumberFormat="1" applyFont="1" applyFill="1" applyBorder="1" applyAlignment="1">
      <alignment horizontal="center"/>
    </xf>
    <xf numFmtId="10" fontId="18" fillId="0" borderId="15" xfId="9" applyNumberFormat="1" applyFont="1" applyFill="1" applyBorder="1" applyAlignment="1">
      <alignment horizontal="center"/>
    </xf>
    <xf numFmtId="0" fontId="17" fillId="0" borderId="24" xfId="20" applyFont="1" applyBorder="1" applyAlignment="1">
      <alignment wrapText="1"/>
    </xf>
    <xf numFmtId="2" fontId="18" fillId="0" borderId="0" xfId="20" applyNumberFormat="1" applyFont="1" applyAlignment="1">
      <alignment horizontal="center"/>
    </xf>
    <xf numFmtId="164" fontId="27" fillId="0" borderId="0" xfId="4" applyNumberFormat="1" applyFont="1" applyFill="1"/>
    <xf numFmtId="3" fontId="18" fillId="0" borderId="8" xfId="2" applyNumberFormat="1" applyFont="1" applyFill="1" applyBorder="1"/>
    <xf numFmtId="0" fontId="48" fillId="0" borderId="0" xfId="0" applyFont="1"/>
    <xf numFmtId="43" fontId="27" fillId="0" borderId="0" xfId="2" applyFont="1" applyFill="1"/>
    <xf numFmtId="0" fontId="23" fillId="0" borderId="0" xfId="0" applyFont="1"/>
    <xf numFmtId="0" fontId="0" fillId="0" borderId="0" xfId="0" applyAlignment="1">
      <alignment vertical="center" wrapText="1"/>
    </xf>
    <xf numFmtId="0" fontId="24" fillId="0" borderId="0" xfId="0" applyFont="1" applyAlignment="1">
      <alignment horizontal="center"/>
    </xf>
    <xf numFmtId="0" fontId="18" fillId="0" borderId="0" xfId="0" applyFont="1" applyAlignment="1">
      <alignment horizontal="left"/>
    </xf>
    <xf numFmtId="0" fontId="24" fillId="0" borderId="0" xfId="0" applyFont="1"/>
    <xf numFmtId="37" fontId="18" fillId="0" borderId="0" xfId="0" applyNumberFormat="1" applyFont="1"/>
    <xf numFmtId="37" fontId="17" fillId="0" borderId="0" xfId="0" applyNumberFormat="1" applyFont="1"/>
    <xf numFmtId="37" fontId="18" fillId="0" borderId="0" xfId="0" applyNumberFormat="1" applyFont="1" applyAlignment="1">
      <alignment horizontal="left"/>
    </xf>
    <xf numFmtId="0" fontId="17" fillId="0" borderId="0" xfId="0" applyFont="1" applyAlignment="1">
      <alignment horizontal="center"/>
    </xf>
    <xf numFmtId="0" fontId="24" fillId="0" borderId="0" xfId="0" applyFont="1" applyAlignment="1">
      <alignment horizontal="left"/>
    </xf>
    <xf numFmtId="37" fontId="18" fillId="0" borderId="34" xfId="0" applyNumberFormat="1" applyFont="1" applyBorder="1" applyAlignment="1">
      <alignment wrapText="1"/>
    </xf>
    <xf numFmtId="37" fontId="17" fillId="0" borderId="0" xfId="0" applyNumberFormat="1" applyFont="1" applyAlignment="1">
      <alignment horizontal="center"/>
    </xf>
    <xf numFmtId="0" fontId="23" fillId="0" borderId="0" xfId="0" applyFont="1" applyAlignment="1">
      <alignment horizontal="left"/>
    </xf>
    <xf numFmtId="0" fontId="23" fillId="0" borderId="0" xfId="0" applyFont="1" applyAlignment="1">
      <alignment wrapText="1"/>
    </xf>
    <xf numFmtId="41" fontId="17" fillId="0" borderId="0" xfId="0" applyNumberFormat="1" applyFont="1" applyAlignment="1">
      <alignment horizontal="center" wrapText="1"/>
    </xf>
    <xf numFmtId="0" fontId="17" fillId="0" borderId="17" xfId="0" applyFont="1" applyBorder="1"/>
    <xf numFmtId="0" fontId="18" fillId="0" borderId="25" xfId="0" applyFont="1" applyBorder="1" applyAlignment="1">
      <alignment wrapText="1"/>
    </xf>
    <xf numFmtId="164" fontId="18" fillId="0" borderId="0" xfId="0" applyNumberFormat="1" applyFont="1" applyAlignment="1">
      <alignment wrapText="1"/>
    </xf>
    <xf numFmtId="0" fontId="17" fillId="0" borderId="0" xfId="0" applyFont="1" applyAlignment="1">
      <alignment horizontal="centerContinuous"/>
    </xf>
    <xf numFmtId="0" fontId="18" fillId="0" borderId="0" xfId="0" applyFont="1" applyAlignment="1">
      <alignment horizontal="centerContinuous"/>
    </xf>
    <xf numFmtId="41" fontId="17" fillId="0" borderId="0" xfId="0" applyNumberFormat="1" applyFont="1" applyAlignment="1">
      <alignment horizontal="center"/>
    </xf>
    <xf numFmtId="0" fontId="22" fillId="0" borderId="0" xfId="0" applyFont="1" applyAlignment="1">
      <alignment horizontal="centerContinuous"/>
    </xf>
    <xf numFmtId="0" fontId="23" fillId="0" borderId="0" xfId="0" applyFont="1" applyAlignment="1">
      <alignment horizontal="centerContinuous"/>
    </xf>
    <xf numFmtId="0" fontId="17" fillId="0" borderId="23" xfId="0" applyFont="1" applyBorder="1"/>
    <xf numFmtId="0" fontId="18" fillId="0" borderId="29" xfId="0" applyFont="1" applyBorder="1" applyAlignment="1">
      <alignment wrapText="1"/>
    </xf>
    <xf numFmtId="0" fontId="23" fillId="0" borderId="0" xfId="20" applyFont="1" applyAlignment="1">
      <alignment horizontal="center"/>
    </xf>
    <xf numFmtId="0" fontId="24" fillId="0" borderId="0" xfId="20" applyFont="1" applyAlignment="1">
      <alignment horizontal="center"/>
    </xf>
    <xf numFmtId="0" fontId="22" fillId="0" borderId="0" xfId="20" applyFont="1" applyAlignment="1">
      <alignment horizontal="center"/>
    </xf>
    <xf numFmtId="43" fontId="18" fillId="0" borderId="0" xfId="2" applyFont="1"/>
    <xf numFmtId="164" fontId="15" fillId="0" borderId="0" xfId="2" applyNumberFormat="1" applyFont="1"/>
    <xf numFmtId="10" fontId="15" fillId="0" borderId="0" xfId="9" applyNumberFormat="1" applyFont="1"/>
    <xf numFmtId="3" fontId="18" fillId="11" borderId="0" xfId="2" applyNumberFormat="1" applyFont="1" applyFill="1" applyBorder="1"/>
    <xf numFmtId="0" fontId="18" fillId="7" borderId="0" xfId="20" applyFont="1" applyFill="1"/>
    <xf numFmtId="0" fontId="18" fillId="0" borderId="31" xfId="20" applyFont="1" applyBorder="1"/>
    <xf numFmtId="0" fontId="17" fillId="0" borderId="0" xfId="0" applyFont="1" applyAlignment="1">
      <alignment horizontal="right"/>
    </xf>
    <xf numFmtId="43" fontId="18" fillId="0" borderId="0" xfId="2" applyFont="1" applyFill="1" applyBorder="1" applyAlignment="1"/>
    <xf numFmtId="0" fontId="17" fillId="10" borderId="31" xfId="20" applyFont="1" applyFill="1" applyBorder="1" applyAlignment="1">
      <alignment horizontal="center" wrapText="1"/>
    </xf>
    <xf numFmtId="3" fontId="18" fillId="0" borderId="20" xfId="20" applyNumberFormat="1" applyFont="1" applyBorder="1" applyAlignment="1">
      <alignment horizontal="center"/>
    </xf>
    <xf numFmtId="37" fontId="17" fillId="0" borderId="1" xfId="20" applyNumberFormat="1" applyFont="1" applyBorder="1" applyAlignment="1">
      <alignment horizontal="center"/>
    </xf>
    <xf numFmtId="164" fontId="18" fillId="0" borderId="0" xfId="20" applyNumberFormat="1" applyFont="1"/>
    <xf numFmtId="0" fontId="27" fillId="0" borderId="0" xfId="20" applyFont="1" applyAlignment="1">
      <alignment horizontal="center"/>
    </xf>
    <xf numFmtId="0" fontId="15" fillId="0" borderId="0" xfId="20"/>
    <xf numFmtId="43" fontId="15" fillId="0" borderId="0" xfId="2" applyFont="1" applyFill="1"/>
    <xf numFmtId="164" fontId="18" fillId="0" borderId="0" xfId="1" applyNumberFormat="1" applyFont="1"/>
    <xf numFmtId="0" fontId="18" fillId="0" borderId="0" xfId="20" applyFont="1" applyProtection="1">
      <protection locked="0"/>
    </xf>
    <xf numFmtId="3" fontId="18" fillId="0" borderId="20" xfId="20" applyNumberFormat="1" applyFont="1" applyBorder="1"/>
    <xf numFmtId="0" fontId="31" fillId="0" borderId="0" xfId="20" applyFont="1"/>
    <xf numFmtId="0" fontId="28" fillId="0" borderId="0" xfId="20" applyFont="1" applyAlignment="1">
      <alignment horizontal="center" wrapText="1"/>
    </xf>
    <xf numFmtId="0" fontId="31" fillId="5" borderId="0" xfId="20" applyFont="1" applyFill="1" applyAlignment="1">
      <alignment horizontal="center" wrapText="1"/>
    </xf>
    <xf numFmtId="0" fontId="31" fillId="0" borderId="0" xfId="20" applyFont="1" applyAlignment="1">
      <alignment horizontal="center" wrapText="1"/>
    </xf>
    <xf numFmtId="3" fontId="31" fillId="0" borderId="0" xfId="20" applyNumberFormat="1" applyFont="1"/>
    <xf numFmtId="3" fontId="31" fillId="0" borderId="3" xfId="20" applyNumberFormat="1" applyFont="1" applyBorder="1"/>
    <xf numFmtId="171" fontId="28" fillId="0" borderId="0" xfId="9" applyNumberFormat="1" applyFont="1" applyAlignment="1" applyProtection="1"/>
    <xf numFmtId="3" fontId="31" fillId="0" borderId="4" xfId="20" applyNumberFormat="1" applyFont="1" applyBorder="1"/>
    <xf numFmtId="3" fontId="31" fillId="0" borderId="0" xfId="20" applyNumberFormat="1" applyFont="1" applyAlignment="1">
      <alignment horizontal="center"/>
    </xf>
    <xf numFmtId="0" fontId="31" fillId="5" borderId="0" xfId="20" applyFont="1" applyFill="1"/>
    <xf numFmtId="3" fontId="31" fillId="0" borderId="0" xfId="20" applyNumberFormat="1" applyFont="1" applyAlignment="1">
      <alignment horizontal="right"/>
    </xf>
    <xf numFmtId="171" fontId="31" fillId="0" borderId="0" xfId="20" applyNumberFormat="1" applyFont="1" applyAlignment="1">
      <alignment horizontal="right"/>
    </xf>
    <xf numFmtId="3" fontId="31" fillId="0" borderId="3" xfId="20" applyNumberFormat="1" applyFont="1" applyBorder="1" applyAlignment="1">
      <alignment horizontal="right"/>
    </xf>
    <xf numFmtId="3" fontId="31" fillId="0" borderId="4" xfId="20" applyNumberFormat="1" applyFont="1" applyBorder="1" applyAlignment="1">
      <alignment horizontal="right"/>
    </xf>
    <xf numFmtId="170" fontId="31" fillId="0" borderId="4" xfId="9" applyNumberFormat="1" applyFont="1" applyBorder="1" applyAlignment="1" applyProtection="1">
      <alignment horizontal="right"/>
    </xf>
    <xf numFmtId="3" fontId="28" fillId="0" borderId="0" xfId="20" applyNumberFormat="1" applyFont="1" applyAlignment="1">
      <alignment horizontal="right"/>
    </xf>
    <xf numFmtId="3" fontId="28" fillId="0" borderId="3" xfId="20" applyNumberFormat="1" applyFont="1" applyBorder="1"/>
    <xf numFmtId="171" fontId="28" fillId="0" borderId="0" xfId="9" applyNumberFormat="1" applyFont="1" applyFill="1" applyAlignment="1" applyProtection="1"/>
    <xf numFmtId="3" fontId="34" fillId="0" borderId="0" xfId="20" applyNumberFormat="1" applyFont="1" applyAlignment="1">
      <alignment horizontal="right"/>
    </xf>
    <xf numFmtId="3" fontId="28" fillId="0" borderId="3" xfId="20" applyNumberFormat="1" applyFont="1" applyBorder="1" applyAlignment="1">
      <alignment horizontal="right"/>
    </xf>
    <xf numFmtId="3" fontId="28" fillId="0" borderId="10" xfId="20" applyNumberFormat="1" applyFont="1" applyBorder="1"/>
    <xf numFmtId="171" fontId="34" fillId="0" borderId="0" xfId="20" applyNumberFormat="1" applyFont="1" applyAlignment="1">
      <alignment horizontal="right"/>
    </xf>
    <xf numFmtId="164" fontId="31" fillId="0" borderId="0" xfId="2" applyNumberFormat="1" applyFont="1" applyAlignment="1" applyProtection="1">
      <alignment horizontal="right"/>
    </xf>
    <xf numFmtId="165" fontId="31" fillId="0" borderId="0" xfId="20" applyNumberFormat="1" applyFont="1"/>
    <xf numFmtId="10" fontId="31" fillId="8" borderId="0" xfId="20" applyNumberFormat="1" applyFont="1" applyFill="1"/>
    <xf numFmtId="10" fontId="31" fillId="0" borderId="0" xfId="20" applyNumberFormat="1" applyFont="1" applyAlignment="1">
      <alignment horizontal="right"/>
    </xf>
    <xf numFmtId="10" fontId="31" fillId="0" borderId="0" xfId="20" applyNumberFormat="1" applyFont="1"/>
    <xf numFmtId="10" fontId="31" fillId="0" borderId="0" xfId="9" applyNumberFormat="1" applyFont="1" applyAlignment="1" applyProtection="1"/>
    <xf numFmtId="3" fontId="28" fillId="0" borderId="12" xfId="20" applyNumberFormat="1" applyFont="1" applyBorder="1"/>
    <xf numFmtId="37" fontId="28" fillId="0" borderId="0" xfId="20" applyNumberFormat="1" applyFont="1" applyAlignment="1">
      <alignment horizontal="right"/>
    </xf>
    <xf numFmtId="0" fontId="28" fillId="0" borderId="0" xfId="20" applyFont="1" applyAlignment="1">
      <alignment horizontal="center"/>
    </xf>
    <xf numFmtId="0" fontId="31" fillId="0" borderId="0" xfId="20" applyFont="1" applyAlignment="1">
      <alignment horizontal="left"/>
    </xf>
    <xf numFmtId="37" fontId="31" fillId="0" borderId="0" xfId="20" applyNumberFormat="1" applyFont="1" applyAlignment="1">
      <alignment horizontal="left"/>
    </xf>
    <xf numFmtId="0" fontId="31" fillId="0" borderId="0" xfId="20" applyFont="1" applyAlignment="1">
      <alignment horizontal="center"/>
    </xf>
    <xf numFmtId="0" fontId="26" fillId="0" borderId="0" xfId="20" applyFont="1"/>
    <xf numFmtId="0" fontId="28" fillId="6" borderId="7" xfId="20" applyFont="1" applyFill="1" applyBorder="1" applyAlignment="1">
      <alignment horizontal="left"/>
    </xf>
    <xf numFmtId="0" fontId="31" fillId="6" borderId="8" xfId="20" applyFont="1" applyFill="1" applyBorder="1"/>
    <xf numFmtId="0" fontId="28" fillId="6" borderId="16" xfId="20" applyFont="1" applyFill="1" applyBorder="1" applyAlignment="1">
      <alignment horizontal="left"/>
    </xf>
    <xf numFmtId="0" fontId="31" fillId="6" borderId="0" xfId="20" applyFont="1" applyFill="1"/>
    <xf numFmtId="0" fontId="31" fillId="6" borderId="0" xfId="20" applyFont="1" applyFill="1" applyAlignment="1">
      <alignment horizontal="center"/>
    </xf>
    <xf numFmtId="0" fontId="31" fillId="6" borderId="15" xfId="20" applyFont="1" applyFill="1" applyBorder="1" applyAlignment="1">
      <alignment horizontal="center"/>
    </xf>
    <xf numFmtId="0" fontId="28" fillId="6" borderId="6" xfId="20" applyFont="1" applyFill="1" applyBorder="1" applyAlignment="1">
      <alignment horizontal="left"/>
    </xf>
    <xf numFmtId="0" fontId="28" fillId="6" borderId="2" xfId="20" applyFont="1" applyFill="1" applyBorder="1"/>
    <xf numFmtId="0" fontId="28" fillId="6" borderId="2" xfId="20" applyFont="1" applyFill="1" applyBorder="1" applyAlignment="1">
      <alignment horizontal="center"/>
    </xf>
    <xf numFmtId="0" fontId="28" fillId="6" borderId="9" xfId="20" applyFont="1" applyFill="1" applyBorder="1" applyAlignment="1">
      <alignment horizontal="center" wrapText="1"/>
    </xf>
    <xf numFmtId="0" fontId="28" fillId="0" borderId="0" xfId="20" applyFont="1"/>
    <xf numFmtId="0" fontId="28" fillId="0" borderId="0" xfId="20" applyFont="1" applyAlignment="1">
      <alignment horizontal="left"/>
    </xf>
    <xf numFmtId="0" fontId="32" fillId="5" borderId="0" xfId="20" applyFont="1" applyFill="1" applyAlignment="1">
      <alignment horizontal="left"/>
    </xf>
    <xf numFmtId="0" fontId="32" fillId="5" borderId="0" xfId="20" applyFont="1" applyFill="1"/>
    <xf numFmtId="0" fontId="28" fillId="5" borderId="0" xfId="20" applyFont="1" applyFill="1" applyAlignment="1">
      <alignment horizontal="center"/>
    </xf>
    <xf numFmtId="0" fontId="34" fillId="0" borderId="0" xfId="20" applyFont="1" applyAlignment="1">
      <alignment horizontal="left"/>
    </xf>
    <xf numFmtId="0" fontId="34" fillId="0" borderId="0" xfId="20" applyFont="1" applyAlignment="1">
      <alignment horizontal="center"/>
    </xf>
    <xf numFmtId="0" fontId="31" fillId="0" borderId="3" xfId="20" applyFont="1" applyBorder="1"/>
    <xf numFmtId="3" fontId="31" fillId="0" borderId="3" xfId="20" applyNumberFormat="1" applyFont="1" applyBorder="1" applyAlignment="1">
      <alignment horizontal="center"/>
    </xf>
    <xf numFmtId="0" fontId="28" fillId="0" borderId="5" xfId="20" applyFont="1" applyBorder="1"/>
    <xf numFmtId="0" fontId="31" fillId="0" borderId="5" xfId="20" applyFont="1" applyBorder="1"/>
    <xf numFmtId="3" fontId="31" fillId="0" borderId="5" xfId="20" applyNumberFormat="1" applyFont="1" applyBorder="1" applyAlignment="1">
      <alignment horizontal="center"/>
    </xf>
    <xf numFmtId="3" fontId="31" fillId="0" borderId="5" xfId="20" applyNumberFormat="1" applyFont="1" applyBorder="1"/>
    <xf numFmtId="0" fontId="31" fillId="0" borderId="4" xfId="20" applyFont="1" applyBorder="1"/>
    <xf numFmtId="0" fontId="34" fillId="0" borderId="4" xfId="20" applyFont="1" applyBorder="1" applyAlignment="1">
      <alignment horizontal="center"/>
    </xf>
    <xf numFmtId="0" fontId="31" fillId="0" borderId="3" xfId="20" applyFont="1" applyBorder="1" applyAlignment="1">
      <alignment horizontal="center"/>
    </xf>
    <xf numFmtId="0" fontId="31" fillId="0" borderId="5" xfId="20" applyFont="1" applyBorder="1" applyAlignment="1">
      <alignment horizontal="center"/>
    </xf>
    <xf numFmtId="0" fontId="35" fillId="0" borderId="0" xfId="20" applyFont="1" applyAlignment="1">
      <alignment horizontal="center"/>
    </xf>
    <xf numFmtId="0" fontId="32" fillId="0" borderId="0" xfId="20" applyFont="1"/>
    <xf numFmtId="0" fontId="31" fillId="0" borderId="4" xfId="20" applyFont="1" applyBorder="1" applyAlignment="1">
      <alignment horizontal="left"/>
    </xf>
    <xf numFmtId="0" fontId="28" fillId="0" borderId="0" xfId="20" applyFont="1" applyAlignment="1">
      <alignment horizontal="right"/>
    </xf>
    <xf numFmtId="0" fontId="28" fillId="0" borderId="5" xfId="20" applyFont="1" applyBorder="1" applyAlignment="1">
      <alignment horizontal="center"/>
    </xf>
    <xf numFmtId="167" fontId="31" fillId="0" borderId="0" xfId="20" applyNumberFormat="1" applyFont="1" applyAlignment="1">
      <alignment horizontal="center"/>
    </xf>
    <xf numFmtId="0" fontId="31" fillId="0" borderId="5" xfId="20" applyFont="1" applyBorder="1" applyAlignment="1">
      <alignment horizontal="left"/>
    </xf>
    <xf numFmtId="0" fontId="36" fillId="0" borderId="0" xfId="20" applyFont="1" applyAlignment="1">
      <alignment horizontal="left"/>
    </xf>
    <xf numFmtId="0" fontId="36" fillId="0" borderId="0" xfId="20" applyFont="1"/>
    <xf numFmtId="0" fontId="31" fillId="0" borderId="0" xfId="20" applyFont="1" applyAlignment="1">
      <alignment horizontal="right"/>
    </xf>
    <xf numFmtId="0" fontId="34" fillId="0" borderId="0" xfId="20" applyFont="1"/>
    <xf numFmtId="4" fontId="34" fillId="0" borderId="0" xfId="20" applyNumberFormat="1" applyFont="1" applyAlignment="1">
      <alignment horizontal="right"/>
    </xf>
    <xf numFmtId="0" fontId="37" fillId="0" borderId="0" xfId="20" applyFont="1" applyAlignment="1">
      <alignment horizontal="left"/>
    </xf>
    <xf numFmtId="0" fontId="38" fillId="0" borderId="0" xfId="20" applyFont="1" applyAlignment="1">
      <alignment horizontal="center"/>
    </xf>
    <xf numFmtId="0" fontId="31" fillId="0" borderId="4" xfId="20" applyFont="1" applyBorder="1" applyAlignment="1">
      <alignment horizontal="center"/>
    </xf>
    <xf numFmtId="0" fontId="31" fillId="0" borderId="3" xfId="20" applyFont="1" applyBorder="1" applyAlignment="1">
      <alignment horizontal="left"/>
    </xf>
    <xf numFmtId="0" fontId="28" fillId="0" borderId="3" xfId="20" applyFont="1" applyBorder="1" applyAlignment="1">
      <alignment horizontal="center"/>
    </xf>
    <xf numFmtId="0" fontId="28" fillId="0" borderId="3" xfId="20" applyFont="1" applyBorder="1"/>
    <xf numFmtId="0" fontId="31" fillId="0" borderId="10" xfId="20" applyFont="1" applyBorder="1" applyAlignment="1">
      <alignment horizontal="center"/>
    </xf>
    <xf numFmtId="0" fontId="28" fillId="0" borderId="10" xfId="20" applyFont="1" applyBorder="1"/>
    <xf numFmtId="0" fontId="28" fillId="0" borderId="10" xfId="20" applyFont="1" applyBorder="1" applyAlignment="1">
      <alignment horizontal="center"/>
    </xf>
    <xf numFmtId="3" fontId="31" fillId="0" borderId="10" xfId="20" applyNumberFormat="1" applyFont="1" applyBorder="1"/>
    <xf numFmtId="0" fontId="28" fillId="5" borderId="0" xfId="20" applyFont="1" applyFill="1" applyAlignment="1">
      <alignment horizontal="left"/>
    </xf>
    <xf numFmtId="0" fontId="34" fillId="0" borderId="4" xfId="20" applyFont="1" applyBorder="1"/>
    <xf numFmtId="0" fontId="31" fillId="0" borderId="10" xfId="20" applyFont="1" applyBorder="1"/>
    <xf numFmtId="3" fontId="31" fillId="0" borderId="10" xfId="20" applyNumberFormat="1" applyFont="1" applyBorder="1" applyAlignment="1">
      <alignment horizontal="center"/>
    </xf>
    <xf numFmtId="0" fontId="38" fillId="0" borderId="0" xfId="20" applyFont="1"/>
    <xf numFmtId="0" fontId="28" fillId="0" borderId="10" xfId="20" applyFont="1" applyBorder="1" applyAlignment="1">
      <alignment horizontal="left"/>
    </xf>
    <xf numFmtId="0" fontId="32" fillId="5" borderId="0" xfId="20" applyFont="1" applyFill="1" applyAlignment="1">
      <alignment horizontal="center"/>
    </xf>
    <xf numFmtId="3" fontId="28" fillId="0" borderId="0" xfId="20" applyNumberFormat="1" applyFont="1"/>
    <xf numFmtId="3" fontId="31" fillId="0" borderId="0" xfId="20" applyNumberFormat="1" applyFont="1" applyAlignment="1">
      <alignment horizontal="left"/>
    </xf>
    <xf numFmtId="167" fontId="28" fillId="0" borderId="10" xfId="20" applyNumberFormat="1" applyFont="1" applyBorder="1" applyAlignment="1">
      <alignment horizontal="left"/>
    </xf>
    <xf numFmtId="3" fontId="28" fillId="0" borderId="10" xfId="20" applyNumberFormat="1" applyFont="1" applyBorder="1" applyAlignment="1">
      <alignment horizontal="center"/>
    </xf>
    <xf numFmtId="167" fontId="28" fillId="0" borderId="0" xfId="20" applyNumberFormat="1" applyFont="1" applyAlignment="1">
      <alignment horizontal="left"/>
    </xf>
    <xf numFmtId="169" fontId="31" fillId="0" borderId="0" xfId="20" applyNumberFormat="1" applyFont="1"/>
    <xf numFmtId="167" fontId="31" fillId="0" borderId="0" xfId="20" applyNumberFormat="1" applyFont="1" applyAlignment="1">
      <alignment horizontal="left"/>
    </xf>
    <xf numFmtId="0" fontId="28" fillId="0" borderId="3" xfId="20" applyFont="1" applyBorder="1" applyAlignment="1">
      <alignment horizontal="left"/>
    </xf>
    <xf numFmtId="167" fontId="28" fillId="0" borderId="5" xfId="20" applyNumberFormat="1" applyFont="1" applyBorder="1" applyAlignment="1">
      <alignment horizontal="left"/>
    </xf>
    <xf numFmtId="3" fontId="28" fillId="0" borderId="5" xfId="20" applyNumberFormat="1" applyFont="1" applyBorder="1"/>
    <xf numFmtId="3" fontId="28" fillId="0" borderId="3" xfId="20" applyNumberFormat="1" applyFont="1" applyBorder="1" applyAlignment="1">
      <alignment horizontal="center"/>
    </xf>
    <xf numFmtId="0" fontId="28" fillId="0" borderId="17" xfId="20" applyFont="1" applyBorder="1" applyAlignment="1">
      <alignment horizontal="center"/>
    </xf>
    <xf numFmtId="0" fontId="31" fillId="0" borderId="22" xfId="20" applyFont="1" applyBorder="1" applyAlignment="1">
      <alignment horizontal="center"/>
    </xf>
    <xf numFmtId="0" fontId="28" fillId="0" borderId="22" xfId="20" applyFont="1" applyBorder="1"/>
    <xf numFmtId="3" fontId="28" fillId="0" borderId="22" xfId="20" applyNumberFormat="1" applyFont="1" applyBorder="1"/>
    <xf numFmtId="3" fontId="28" fillId="0" borderId="0" xfId="20" applyNumberFormat="1" applyFont="1" applyAlignment="1">
      <alignment horizontal="center"/>
    </xf>
    <xf numFmtId="0" fontId="28" fillId="0" borderId="4" xfId="20" applyFont="1" applyBorder="1"/>
    <xf numFmtId="3" fontId="28" fillId="0" borderId="4" xfId="20" applyNumberFormat="1" applyFont="1" applyBorder="1" applyAlignment="1">
      <alignment horizontal="center"/>
    </xf>
    <xf numFmtId="43" fontId="31" fillId="0" borderId="0" xfId="20" applyNumberFormat="1" applyFont="1"/>
    <xf numFmtId="0" fontId="28" fillId="0" borderId="11" xfId="20" applyFont="1" applyBorder="1" applyAlignment="1">
      <alignment horizontal="center"/>
    </xf>
    <xf numFmtId="0" fontId="28" fillId="0" borderId="12" xfId="20" applyFont="1" applyBorder="1"/>
    <xf numFmtId="0" fontId="28" fillId="0" borderId="12" xfId="20" applyFont="1" applyBorder="1" applyAlignment="1">
      <alignment horizontal="left"/>
    </xf>
    <xf numFmtId="0" fontId="28" fillId="0" borderId="12" xfId="20" applyFont="1" applyBorder="1" applyAlignment="1">
      <alignment horizontal="center"/>
    </xf>
    <xf numFmtId="0" fontId="26" fillId="0" borderId="0" xfId="20" applyFont="1" applyAlignment="1">
      <alignment horizontal="center"/>
    </xf>
    <xf numFmtId="0" fontId="32" fillId="0" borderId="0" xfId="20" applyFont="1" applyAlignment="1">
      <alignment horizontal="left"/>
    </xf>
    <xf numFmtId="37" fontId="18" fillId="0" borderId="0" xfId="1" applyNumberFormat="1" applyFont="1" applyAlignment="1" applyProtection="1">
      <alignment horizontal="right" wrapText="1"/>
      <protection locked="0"/>
    </xf>
    <xf numFmtId="43" fontId="18" fillId="0" borderId="15" xfId="2" applyFont="1" applyFill="1" applyBorder="1"/>
    <xf numFmtId="41" fontId="18" fillId="68" borderId="0" xfId="0" applyNumberFormat="1" applyFont="1" applyFill="1"/>
    <xf numFmtId="0" fontId="44" fillId="0" borderId="0" xfId="20" applyFont="1" applyAlignment="1">
      <alignment horizontal="left"/>
    </xf>
    <xf numFmtId="174" fontId="15" fillId="0" borderId="0" xfId="2" applyNumberFormat="1" applyFont="1"/>
    <xf numFmtId="167" fontId="15" fillId="0" borderId="0" xfId="9" applyNumberFormat="1" applyFont="1" applyFill="1"/>
    <xf numFmtId="0" fontId="47" fillId="0" borderId="0" xfId="20" applyFont="1" applyAlignment="1">
      <alignment horizontal="center"/>
    </xf>
    <xf numFmtId="0" fontId="46" fillId="0" borderId="0" xfId="20" applyFont="1" applyAlignment="1">
      <alignment horizontal="center"/>
    </xf>
    <xf numFmtId="164" fontId="27" fillId="0" borderId="0" xfId="20" applyNumberFormat="1" applyFont="1"/>
    <xf numFmtId="0" fontId="27" fillId="0" borderId="0" xfId="20" applyFont="1"/>
    <xf numFmtId="164" fontId="18" fillId="0" borderId="0" xfId="20" applyNumberFormat="1" applyFont="1" applyAlignment="1">
      <alignment horizontal="center"/>
    </xf>
    <xf numFmtId="171" fontId="27" fillId="0" borderId="0" xfId="20" applyNumberFormat="1" applyFont="1"/>
    <xf numFmtId="171" fontId="18" fillId="8" borderId="0" xfId="20" applyNumberFormat="1" applyFont="1" applyFill="1" applyProtection="1">
      <protection locked="0"/>
    </xf>
    <xf numFmtId="171" fontId="18" fillId="0" borderId="0" xfId="20" applyNumberFormat="1" applyFont="1"/>
    <xf numFmtId="0" fontId="22" fillId="0" borderId="0" xfId="20" applyFont="1"/>
    <xf numFmtId="0" fontId="23" fillId="0" borderId="0" xfId="20" applyFont="1" applyAlignment="1">
      <alignment horizontal="left"/>
    </xf>
    <xf numFmtId="0" fontId="17" fillId="0" borderId="59" xfId="0" applyFont="1" applyBorder="1" applyAlignment="1">
      <alignment wrapText="1"/>
    </xf>
    <xf numFmtId="0" fontId="17" fillId="0" borderId="58" xfId="0" applyFont="1" applyBorder="1"/>
    <xf numFmtId="0" fontId="17" fillId="0" borderId="19" xfId="20" applyFont="1" applyBorder="1"/>
    <xf numFmtId="0" fontId="18" fillId="8" borderId="28" xfId="20" applyFont="1" applyFill="1" applyBorder="1" applyAlignment="1">
      <alignment wrapText="1"/>
    </xf>
    <xf numFmtId="0" fontId="18" fillId="8" borderId="19" xfId="20" applyFont="1" applyFill="1" applyBorder="1" applyAlignment="1">
      <alignment wrapText="1"/>
    </xf>
    <xf numFmtId="0" fontId="17" fillId="0" borderId="18" xfId="20" applyFont="1" applyBorder="1"/>
    <xf numFmtId="164" fontId="18" fillId="8" borderId="25" xfId="3" applyNumberFormat="1" applyFont="1" applyFill="1" applyBorder="1" applyAlignment="1">
      <alignment wrapText="1"/>
    </xf>
    <xf numFmtId="3" fontId="18" fillId="0" borderId="8" xfId="20" applyNumberFormat="1" applyFont="1" applyBorder="1"/>
    <xf numFmtId="0" fontId="58" fillId="0" borderId="0" xfId="20" applyFont="1" applyAlignment="1">
      <alignment horizontal="left"/>
    </xf>
    <xf numFmtId="0" fontId="58" fillId="0" borderId="0" xfId="20" applyFont="1"/>
    <xf numFmtId="0" fontId="18" fillId="8" borderId="25" xfId="3" applyNumberFormat="1" applyFont="1" applyFill="1" applyBorder="1" applyAlignment="1">
      <alignment wrapText="1"/>
    </xf>
    <xf numFmtId="4" fontId="18" fillId="0" borderId="0" xfId="20" applyNumberFormat="1" applyFont="1"/>
    <xf numFmtId="182" fontId="18" fillId="0" borderId="0" xfId="20" applyNumberFormat="1" applyFont="1" applyAlignment="1">
      <alignment horizontal="center"/>
    </xf>
    <xf numFmtId="3" fontId="18" fillId="0" borderId="0" xfId="0" applyNumberFormat="1" applyFont="1"/>
    <xf numFmtId="0" fontId="58" fillId="0" borderId="0" xfId="0" applyFont="1"/>
    <xf numFmtId="164" fontId="18" fillId="0" borderId="0" xfId="0" applyNumberFormat="1" applyFont="1"/>
    <xf numFmtId="41" fontId="18" fillId="0" borderId="0" xfId="0" applyNumberFormat="1" applyFont="1"/>
    <xf numFmtId="0" fontId="103" fillId="0" borderId="0" xfId="0" applyFont="1"/>
    <xf numFmtId="3" fontId="18" fillId="0" borderId="21" xfId="20" applyNumberFormat="1" applyFont="1" applyBorder="1" applyAlignment="1">
      <alignment horizontal="center"/>
    </xf>
    <xf numFmtId="3" fontId="18" fillId="0" borderId="0" xfId="2" applyNumberFormat="1" applyFont="1" applyFill="1" applyBorder="1"/>
    <xf numFmtId="0" fontId="18" fillId="0" borderId="16" xfId="0" applyFont="1" applyBorder="1" applyAlignment="1">
      <alignment horizontal="left"/>
    </xf>
    <xf numFmtId="0" fontId="18" fillId="0" borderId="6" xfId="0" applyFont="1" applyBorder="1" applyAlignment="1">
      <alignment horizontal="left"/>
    </xf>
    <xf numFmtId="0" fontId="18" fillId="0" borderId="16" xfId="0" applyFont="1" applyBorder="1" applyAlignment="1">
      <alignment horizontal="center"/>
    </xf>
    <xf numFmtId="37" fontId="18" fillId="0" borderId="0" xfId="2" applyNumberFormat="1" applyFont="1" applyFill="1" applyBorder="1"/>
    <xf numFmtId="3" fontId="17" fillId="0" borderId="0" xfId="20" applyNumberFormat="1" applyFont="1" applyAlignment="1">
      <alignment horizontal="center"/>
    </xf>
    <xf numFmtId="0" fontId="15" fillId="0" borderId="0" xfId="0" applyFont="1"/>
    <xf numFmtId="0" fontId="18" fillId="11" borderId="0" xfId="1" applyFont="1" applyFill="1"/>
    <xf numFmtId="0" fontId="18" fillId="11" borderId="0" xfId="1" applyFont="1" applyFill="1" applyAlignment="1">
      <alignment horizontal="left" vertical="center" wrapText="1"/>
    </xf>
    <xf numFmtId="37" fontId="18" fillId="11" borderId="0" xfId="1" applyNumberFormat="1" applyFont="1" applyFill="1"/>
    <xf numFmtId="0" fontId="25" fillId="0" borderId="0" xfId="291" applyFont="1"/>
    <xf numFmtId="10" fontId="25" fillId="0" borderId="0" xfId="291" applyNumberFormat="1" applyFont="1"/>
    <xf numFmtId="0" fontId="25" fillId="0" borderId="0" xfId="291" applyFont="1" applyAlignment="1">
      <alignment horizontal="left"/>
    </xf>
    <xf numFmtId="0" fontId="15" fillId="0" borderId="0" xfId="291" applyFont="1"/>
    <xf numFmtId="0" fontId="25" fillId="0" borderId="0" xfId="0" applyFont="1"/>
    <xf numFmtId="2" fontId="25" fillId="0" borderId="0" xfId="0" applyNumberFormat="1" applyFont="1" applyAlignment="1">
      <alignment horizontal="left"/>
    </xf>
    <xf numFmtId="10" fontId="25" fillId="0" borderId="0" xfId="9" applyNumberFormat="1" applyFont="1" applyAlignment="1">
      <alignment horizontal="center"/>
    </xf>
    <xf numFmtId="0" fontId="23" fillId="0" borderId="0" xfId="0" applyFont="1" applyAlignment="1">
      <alignment horizontal="center"/>
    </xf>
    <xf numFmtId="0" fontId="45" fillId="0" borderId="0" xfId="291" applyFont="1"/>
    <xf numFmtId="0" fontId="45" fillId="0" borderId="0" xfId="291" applyFont="1" applyAlignment="1">
      <alignment horizontal="center"/>
    </xf>
    <xf numFmtId="0" fontId="18" fillId="0" borderId="0" xfId="291" applyFont="1" applyAlignment="1">
      <alignment horizontal="center"/>
    </xf>
    <xf numFmtId="0" fontId="18" fillId="0" borderId="0" xfId="291" applyFont="1"/>
    <xf numFmtId="171" fontId="17" fillId="0" borderId="0" xfId="523" applyNumberFormat="1" applyFont="1" applyAlignment="1">
      <alignment horizontal="center"/>
    </xf>
    <xf numFmtId="177" fontId="18" fillId="0" borderId="0" xfId="2" applyNumberFormat="1" applyFont="1" applyAlignment="1">
      <alignment horizontal="left"/>
    </xf>
    <xf numFmtId="171" fontId="18" fillId="0" borderId="0" xfId="523" applyNumberFormat="1" applyFont="1" applyAlignment="1">
      <alignment horizontal="center"/>
    </xf>
    <xf numFmtId="9" fontId="18" fillId="0" borderId="0" xfId="9" applyFont="1"/>
    <xf numFmtId="177" fontId="45" fillId="0" borderId="0" xfId="2" applyNumberFormat="1" applyFont="1" applyAlignment="1">
      <alignment horizontal="left"/>
    </xf>
    <xf numFmtId="171" fontId="18" fillId="0" borderId="0" xfId="523" applyNumberFormat="1" applyFont="1"/>
    <xf numFmtId="10" fontId="18" fillId="0" borderId="0" xfId="291" applyNumberFormat="1" applyFont="1"/>
    <xf numFmtId="0" fontId="18" fillId="0" borderId="0" xfId="291" quotePrefix="1" applyFont="1"/>
    <xf numFmtId="0" fontId="18" fillId="0" borderId="0" xfId="291" applyFont="1" applyAlignment="1">
      <alignment horizontal="left"/>
    </xf>
    <xf numFmtId="3" fontId="18" fillId="0" borderId="20" xfId="2" applyNumberFormat="1" applyFont="1" applyFill="1" applyBorder="1"/>
    <xf numFmtId="3" fontId="18" fillId="0" borderId="21" xfId="2" applyNumberFormat="1" applyFont="1" applyFill="1" applyBorder="1"/>
    <xf numFmtId="0" fontId="18" fillId="11" borderId="0" xfId="20" applyFont="1" applyFill="1"/>
    <xf numFmtId="0" fontId="18" fillId="11" borderId="0" xfId="20" applyFont="1" applyFill="1" applyAlignment="1">
      <alignment horizontal="left"/>
    </xf>
    <xf numFmtId="172" fontId="18" fillId="0" borderId="0" xfId="9" applyNumberFormat="1" applyFont="1"/>
    <xf numFmtId="0" fontId="45" fillId="0" borderId="0" xfId="20" applyFont="1" applyAlignment="1">
      <alignment horizontal="center"/>
    </xf>
    <xf numFmtId="0" fontId="18" fillId="0" borderId="6" xfId="20" applyFont="1" applyBorder="1" applyAlignment="1">
      <alignment horizontal="left"/>
    </xf>
    <xf numFmtId="0" fontId="28" fillId="0" borderId="4" xfId="20" applyFont="1" applyBorder="1" applyAlignment="1">
      <alignment horizontal="center"/>
    </xf>
    <xf numFmtId="3" fontId="104" fillId="0" borderId="0" xfId="20" applyNumberFormat="1" applyFont="1" applyAlignment="1">
      <alignment horizontal="right"/>
    </xf>
    <xf numFmtId="0" fontId="28" fillId="0" borderId="5" xfId="20" applyFont="1" applyBorder="1" applyAlignment="1">
      <alignment wrapText="1"/>
    </xf>
    <xf numFmtId="171" fontId="31" fillId="0" borderId="0" xfId="9" applyNumberFormat="1" applyFont="1" applyBorder="1" applyAlignment="1" applyProtection="1"/>
    <xf numFmtId="0" fontId="18" fillId="0" borderId="0" xfId="301" applyFont="1"/>
    <xf numFmtId="0" fontId="18" fillId="0" borderId="0" xfId="301" applyFont="1" applyAlignment="1">
      <alignment horizontal="center"/>
    </xf>
    <xf numFmtId="164" fontId="18" fillId="0" borderId="0" xfId="301" applyNumberFormat="1" applyFont="1"/>
    <xf numFmtId="0" fontId="17" fillId="0" borderId="0" xfId="0" applyFont="1" applyAlignment="1">
      <alignment horizontal="left"/>
    </xf>
    <xf numFmtId="0" fontId="17" fillId="0" borderId="60" xfId="0" applyFont="1" applyBorder="1"/>
    <xf numFmtId="0" fontId="18" fillId="0" borderId="32" xfId="0" applyFont="1" applyBorder="1" applyAlignment="1">
      <alignment wrapText="1"/>
    </xf>
    <xf numFmtId="0" fontId="18" fillId="0" borderId="0" xfId="301" applyFont="1" applyAlignment="1">
      <alignment horizontal="left"/>
    </xf>
    <xf numFmtId="0" fontId="18" fillId="0" borderId="4" xfId="301" applyFont="1" applyBorder="1" applyAlignment="1">
      <alignment horizontal="center" vertical="top" wrapText="1"/>
    </xf>
    <xf numFmtId="0" fontId="0" fillId="0" borderId="0" xfId="0" applyAlignment="1">
      <alignment horizontal="center"/>
    </xf>
    <xf numFmtId="0" fontId="17" fillId="0" borderId="0" xfId="0" applyFont="1" applyAlignment="1">
      <alignment wrapText="1"/>
    </xf>
    <xf numFmtId="0" fontId="17" fillId="0" borderId="0" xfId="301" applyFont="1" applyAlignment="1">
      <alignment horizontal="center"/>
    </xf>
    <xf numFmtId="0" fontId="18" fillId="0" borderId="0" xfId="301" applyFont="1" applyAlignment="1">
      <alignment horizontal="left" wrapText="1"/>
    </xf>
    <xf numFmtId="1" fontId="17" fillId="0" borderId="0" xfId="20" applyNumberFormat="1" applyFont="1"/>
    <xf numFmtId="37" fontId="17" fillId="0" borderId="0" xfId="20" applyNumberFormat="1" applyFont="1"/>
    <xf numFmtId="164" fontId="18" fillId="0" borderId="25" xfId="2" applyNumberFormat="1" applyFont="1" applyFill="1" applyBorder="1" applyAlignment="1">
      <alignment wrapText="1"/>
    </xf>
    <xf numFmtId="164" fontId="18" fillId="0" borderId="25" xfId="3" applyNumberFormat="1" applyFont="1" applyFill="1" applyBorder="1" applyAlignment="1">
      <alignment wrapText="1"/>
    </xf>
    <xf numFmtId="0" fontId="18" fillId="0" borderId="29" xfId="20" applyFont="1" applyBorder="1" applyAlignment="1">
      <alignment wrapText="1"/>
    </xf>
    <xf numFmtId="164" fontId="18" fillId="11" borderId="25" xfId="3" applyNumberFormat="1" applyFont="1" applyFill="1" applyBorder="1" applyAlignment="1">
      <alignment wrapText="1"/>
    </xf>
    <xf numFmtId="164" fontId="18" fillId="11" borderId="25" xfId="2" applyNumberFormat="1" applyFont="1" applyFill="1" applyBorder="1" applyAlignment="1">
      <alignment wrapText="1"/>
    </xf>
    <xf numFmtId="164" fontId="105" fillId="0" borderId="0" xfId="34" applyNumberFormat="1" applyFont="1" applyAlignment="1">
      <alignment vertical="center" wrapText="1"/>
    </xf>
    <xf numFmtId="164" fontId="105" fillId="0" borderId="0" xfId="34" applyNumberFormat="1" applyFont="1" applyAlignment="1">
      <alignment horizontal="right" vertical="center" wrapText="1"/>
    </xf>
    <xf numFmtId="164" fontId="105" fillId="11" borderId="0" xfId="34" applyNumberFormat="1" applyFont="1" applyFill="1" applyAlignment="1">
      <alignment vertical="center" wrapText="1"/>
    </xf>
    <xf numFmtId="0" fontId="105" fillId="0" borderId="0" xfId="346" applyFont="1"/>
    <xf numFmtId="0" fontId="106" fillId="0" borderId="0" xfId="346" applyFont="1"/>
    <xf numFmtId="0" fontId="106" fillId="0" borderId="0" xfId="346" applyFont="1" applyAlignment="1">
      <alignment horizontal="center" vertical="center" wrapText="1"/>
    </xf>
    <xf numFmtId="0" fontId="106" fillId="0" borderId="0" xfId="346" applyFont="1" applyAlignment="1">
      <alignment vertical="center"/>
    </xf>
    <xf numFmtId="0" fontId="106" fillId="0" borderId="27" xfId="346" applyFont="1" applyBorder="1" applyAlignment="1">
      <alignment horizontal="center" vertical="center"/>
    </xf>
    <xf numFmtId="0" fontId="106" fillId="0" borderId="0" xfId="346" applyFont="1" applyAlignment="1">
      <alignment horizontal="center" vertical="center"/>
    </xf>
    <xf numFmtId="0" fontId="107" fillId="0" borderId="27" xfId="346" applyFont="1" applyBorder="1" applyAlignment="1">
      <alignment horizontal="center" vertical="center"/>
    </xf>
    <xf numFmtId="0" fontId="105" fillId="0" borderId="33" xfId="346" applyFont="1" applyBorder="1" applyAlignment="1">
      <alignment horizontal="center" vertical="center" wrapText="1"/>
    </xf>
    <xf numFmtId="0" fontId="105" fillId="0" borderId="0" xfId="346" applyFont="1" applyAlignment="1">
      <alignment horizontal="center" vertical="center" wrapText="1"/>
    </xf>
    <xf numFmtId="0" fontId="108" fillId="0" borderId="33" xfId="346" applyFont="1" applyBorder="1" applyAlignment="1">
      <alignment horizontal="center" vertical="center" wrapText="1"/>
    </xf>
    <xf numFmtId="0" fontId="108" fillId="0" borderId="0" xfId="346" applyFont="1"/>
    <xf numFmtId="0" fontId="105" fillId="0" borderId="0" xfId="346" applyFont="1" applyAlignment="1">
      <alignment horizontal="left" vertical="center"/>
    </xf>
    <xf numFmtId="15" fontId="105" fillId="0" borderId="0" xfId="346" applyNumberFormat="1" applyFont="1" applyAlignment="1">
      <alignment vertical="center" wrapText="1"/>
    </xf>
    <xf numFmtId="0" fontId="105" fillId="0" borderId="3" xfId="346" applyFont="1" applyBorder="1" applyAlignment="1">
      <alignment vertical="center" wrapText="1"/>
    </xf>
    <xf numFmtId="164" fontId="105" fillId="0" borderId="3" xfId="346" applyNumberFormat="1" applyFont="1" applyBorder="1" applyAlignment="1">
      <alignment vertical="center" wrapText="1"/>
    </xf>
    <xf numFmtId="0" fontId="105" fillId="0" borderId="3" xfId="346" applyFont="1" applyBorder="1" applyAlignment="1">
      <alignment horizontal="right" vertical="center" wrapText="1"/>
    </xf>
    <xf numFmtId="0" fontId="105" fillId="0" borderId="0" xfId="346" applyFont="1" applyAlignment="1">
      <alignment vertical="center" wrapText="1"/>
    </xf>
    <xf numFmtId="0" fontId="105" fillId="0" borderId="0" xfId="346" applyFont="1" applyAlignment="1">
      <alignment horizontal="right" vertical="center" wrapText="1"/>
    </xf>
    <xf numFmtId="0" fontId="105" fillId="0" borderId="0" xfId="346" applyFont="1" applyAlignment="1">
      <alignment horizontal="justify" vertical="center" wrapText="1"/>
    </xf>
    <xf numFmtId="0" fontId="22" fillId="0" borderId="0" xfId="301" applyFont="1" applyAlignment="1">
      <alignment horizontal="center"/>
    </xf>
    <xf numFmtId="0" fontId="18" fillId="0" borderId="0" xfId="1" applyFont="1" applyAlignment="1">
      <alignment horizontal="center" vertical="top"/>
    </xf>
    <xf numFmtId="0" fontId="17" fillId="0" borderId="0" xfId="1" applyFont="1"/>
    <xf numFmtId="3" fontId="18" fillId="0" borderId="0" xfId="1" applyNumberFormat="1" applyFont="1" applyProtection="1">
      <protection locked="0"/>
    </xf>
    <xf numFmtId="0" fontId="17" fillId="0" borderId="0" xfId="1" applyFont="1" applyAlignment="1">
      <alignment horizontal="left"/>
    </xf>
    <xf numFmtId="0" fontId="18" fillId="0" borderId="0" xfId="20" applyFont="1" applyAlignment="1">
      <alignment horizontal="center" wrapText="1"/>
    </xf>
    <xf numFmtId="0" fontId="28" fillId="0" borderId="0" xfId="0" applyFont="1" applyAlignment="1">
      <alignment horizontal="center"/>
    </xf>
    <xf numFmtId="0" fontId="28" fillId="0" borderId="0" xfId="0" applyFont="1"/>
    <xf numFmtId="3" fontId="18" fillId="0" borderId="0" xfId="2" applyNumberFormat="1" applyFont="1" applyFill="1" applyProtection="1">
      <protection locked="0"/>
    </xf>
    <xf numFmtId="0" fontId="45" fillId="0" borderId="0" xfId="20" applyFont="1"/>
    <xf numFmtId="0" fontId="18" fillId="0" borderId="4" xfId="0" applyFont="1" applyBorder="1" applyAlignment="1">
      <alignment horizontal="center" wrapText="1"/>
    </xf>
    <xf numFmtId="0" fontId="108" fillId="0" borderId="0" xfId="0" applyFont="1" applyAlignment="1">
      <alignment wrapText="1"/>
    </xf>
    <xf numFmtId="41" fontId="18" fillId="0" borderId="0" xfId="3" applyFont="1"/>
    <xf numFmtId="0" fontId="107" fillId="0" borderId="0" xfId="0" applyFont="1" applyAlignment="1">
      <alignment wrapText="1"/>
    </xf>
    <xf numFmtId="0" fontId="18" fillId="0" borderId="0" xfId="0" applyFont="1" applyAlignment="1">
      <alignment wrapText="1"/>
    </xf>
    <xf numFmtId="0" fontId="24" fillId="0" borderId="2" xfId="0" applyFont="1" applyBorder="1" applyAlignment="1">
      <alignment horizontal="center"/>
    </xf>
    <xf numFmtId="0" fontId="17" fillId="0" borderId="0" xfId="20" applyFont="1" applyAlignment="1">
      <alignment horizontal="left" indent="1"/>
    </xf>
    <xf numFmtId="0" fontId="17" fillId="69" borderId="12" xfId="20" applyFont="1" applyFill="1" applyBorder="1" applyAlignment="1">
      <alignment horizontal="center"/>
    </xf>
    <xf numFmtId="3" fontId="18" fillId="0" borderId="0" xfId="20" applyNumberFormat="1" applyFont="1" applyAlignment="1">
      <alignment horizontal="left" wrapText="1"/>
    </xf>
    <xf numFmtId="10" fontId="31" fillId="0" borderId="4" xfId="20" applyNumberFormat="1" applyFont="1" applyBorder="1"/>
    <xf numFmtId="0" fontId="17" fillId="0" borderId="2" xfId="0" applyFont="1" applyBorder="1" applyAlignment="1">
      <alignment horizontal="center"/>
    </xf>
    <xf numFmtId="37" fontId="18" fillId="0" borderId="4" xfId="0" applyNumberFormat="1" applyFont="1" applyBorder="1"/>
    <xf numFmtId="0" fontId="18" fillId="0" borderId="0" xfId="2" applyNumberFormat="1" applyFont="1" applyFill="1" applyAlignment="1">
      <alignment horizontal="center"/>
    </xf>
    <xf numFmtId="0" fontId="105" fillId="0" borderId="0" xfId="559" applyFont="1" applyAlignment="1">
      <alignment horizontal="left" vertical="center" wrapText="1"/>
    </xf>
    <xf numFmtId="0" fontId="110" fillId="0" borderId="0" xfId="0" applyFont="1"/>
    <xf numFmtId="0" fontId="15" fillId="0" borderId="4" xfId="0" applyFont="1" applyBorder="1"/>
    <xf numFmtId="1" fontId="15" fillId="0" borderId="0" xfId="0" applyNumberFormat="1" applyFont="1"/>
    <xf numFmtId="170" fontId="31" fillId="0" borderId="4" xfId="9" applyNumberFormat="1" applyFont="1" applyFill="1" applyBorder="1" applyAlignment="1" applyProtection="1">
      <alignment horizontal="right"/>
    </xf>
    <xf numFmtId="170" fontId="31" fillId="0" borderId="0" xfId="9" applyNumberFormat="1" applyFont="1" applyFill="1" applyAlignment="1" applyProtection="1">
      <alignment horizontal="right"/>
    </xf>
    <xf numFmtId="0" fontId="39" fillId="0" borderId="4" xfId="20" applyFont="1" applyBorder="1"/>
    <xf numFmtId="170" fontId="18" fillId="0" borderId="0" xfId="9" applyNumberFormat="1" applyFont="1" applyFill="1"/>
    <xf numFmtId="170" fontId="18" fillId="0" borderId="0" xfId="9" applyNumberFormat="1" applyFont="1"/>
    <xf numFmtId="0" fontId="24" fillId="0" borderId="4" xfId="0" applyFont="1" applyBorder="1"/>
    <xf numFmtId="0" fontId="17" fillId="0" borderId="19" xfId="20" applyFont="1" applyBorder="1" applyAlignment="1">
      <alignment wrapText="1"/>
    </xf>
    <xf numFmtId="0" fontId="17" fillId="0" borderId="17" xfId="0" applyFont="1" applyBorder="1" applyAlignment="1">
      <alignment wrapText="1"/>
    </xf>
    <xf numFmtId="0" fontId="17" fillId="0" borderId="60" xfId="0" applyFont="1" applyBorder="1" applyAlignment="1">
      <alignment wrapText="1"/>
    </xf>
    <xf numFmtId="37" fontId="18" fillId="0" borderId="0" xfId="0" applyNumberFormat="1" applyFont="1" applyAlignment="1">
      <alignment horizontal="center"/>
    </xf>
    <xf numFmtId="37" fontId="18" fillId="0" borderId="0" xfId="0" applyNumberFormat="1" applyFont="1" applyAlignment="1">
      <alignment wrapText="1"/>
    </xf>
    <xf numFmtId="41" fontId="18" fillId="0" borderId="0" xfId="0" applyNumberFormat="1" applyFont="1" applyAlignment="1">
      <alignment horizontal="center"/>
    </xf>
    <xf numFmtId="170" fontId="110" fillId="0" borderId="0" xfId="9" applyNumberFormat="1" applyFont="1"/>
    <xf numFmtId="0" fontId="38" fillId="0" borderId="4" xfId="20" applyFont="1" applyBorder="1"/>
    <xf numFmtId="170" fontId="31" fillId="0" borderId="5" xfId="9" applyNumberFormat="1" applyFont="1" applyBorder="1" applyAlignment="1" applyProtection="1">
      <alignment horizontal="right"/>
    </xf>
    <xf numFmtId="3" fontId="28" fillId="0" borderId="5" xfId="20" applyNumberFormat="1" applyFont="1" applyBorder="1" applyAlignment="1">
      <alignment horizontal="right"/>
    </xf>
    <xf numFmtId="170" fontId="31" fillId="0" borderId="0" xfId="9" applyNumberFormat="1" applyFont="1" applyFill="1" applyBorder="1" applyAlignment="1" applyProtection="1">
      <alignment horizontal="right"/>
    </xf>
    <xf numFmtId="3" fontId="28" fillId="0" borderId="10" xfId="20" applyNumberFormat="1" applyFont="1" applyBorder="1" applyAlignment="1">
      <alignment horizontal="right"/>
    </xf>
    <xf numFmtId="0" fontId="31" fillId="5" borderId="0" xfId="20" applyFont="1" applyFill="1" applyAlignment="1">
      <alignment horizontal="right" wrapText="1"/>
    </xf>
    <xf numFmtId="171" fontId="28" fillId="0" borderId="0" xfId="9" applyNumberFormat="1" applyFont="1" applyAlignment="1" applyProtection="1">
      <alignment horizontal="right"/>
    </xf>
    <xf numFmtId="10" fontId="31" fillId="0" borderId="0" xfId="9" applyNumberFormat="1" applyFont="1" applyFill="1" applyAlignment="1" applyProtection="1">
      <alignment horizontal="right"/>
    </xf>
    <xf numFmtId="10" fontId="31" fillId="0" borderId="0" xfId="9" applyNumberFormat="1" applyFont="1" applyAlignment="1" applyProtection="1">
      <alignment horizontal="right"/>
    </xf>
    <xf numFmtId="10" fontId="31" fillId="0" borderId="4" xfId="9" applyNumberFormat="1" applyFont="1" applyBorder="1" applyAlignment="1" applyProtection="1">
      <alignment horizontal="right"/>
    </xf>
    <xf numFmtId="10" fontId="28" fillId="0" borderId="0" xfId="9" applyNumberFormat="1" applyFont="1" applyAlignment="1" applyProtection="1">
      <alignment horizontal="right"/>
    </xf>
    <xf numFmtId="165" fontId="28" fillId="0" borderId="0" xfId="20" applyNumberFormat="1" applyFont="1" applyAlignment="1">
      <alignment horizontal="right"/>
    </xf>
    <xf numFmtId="3" fontId="28" fillId="0" borderId="22" xfId="20" applyNumberFormat="1" applyFont="1" applyBorder="1" applyAlignment="1">
      <alignment horizontal="right"/>
    </xf>
    <xf numFmtId="3" fontId="28" fillId="0" borderId="12" xfId="20" applyNumberFormat="1" applyFont="1" applyBorder="1" applyAlignment="1">
      <alignment horizontal="right"/>
    </xf>
    <xf numFmtId="170" fontId="28" fillId="0" borderId="0" xfId="9" applyNumberFormat="1" applyFont="1" applyAlignment="1" applyProtection="1">
      <alignment horizontal="right"/>
    </xf>
    <xf numFmtId="3" fontId="28" fillId="0" borderId="4" xfId="20" applyNumberFormat="1" applyFont="1" applyBorder="1" applyAlignment="1">
      <alignment horizontal="right"/>
    </xf>
    <xf numFmtId="164" fontId="28" fillId="0" borderId="0" xfId="2" applyNumberFormat="1" applyFont="1" applyFill="1" applyAlignment="1" applyProtection="1">
      <alignment horizontal="right"/>
    </xf>
    <xf numFmtId="0" fontId="31" fillId="0" borderId="0" xfId="20" applyFont="1" applyAlignment="1">
      <alignment wrapText="1"/>
    </xf>
    <xf numFmtId="3" fontId="31" fillId="0" borderId="0" xfId="20" applyNumberFormat="1" applyFont="1" applyAlignment="1">
      <alignment wrapText="1"/>
    </xf>
    <xf numFmtId="3" fontId="18" fillId="0" borderId="0" xfId="20" applyNumberFormat="1" applyFont="1" applyAlignment="1">
      <alignment horizontal="right"/>
    </xf>
    <xf numFmtId="0" fontId="18" fillId="7" borderId="0" xfId="20" applyFont="1" applyFill="1" applyAlignment="1">
      <alignment horizontal="right"/>
    </xf>
    <xf numFmtId="3" fontId="18" fillId="0" borderId="2" xfId="20" applyNumberFormat="1" applyFont="1" applyBorder="1" applyAlignment="1">
      <alignment horizontal="right"/>
    </xf>
    <xf numFmtId="0" fontId="110" fillId="0" borderId="0" xfId="0" applyFont="1" applyAlignment="1">
      <alignment horizontal="center"/>
    </xf>
    <xf numFmtId="0" fontId="110" fillId="11" borderId="0" xfId="0" applyFont="1" applyFill="1" applyAlignment="1">
      <alignment horizontal="center"/>
    </xf>
    <xf numFmtId="0" fontId="15" fillId="0" borderId="0" xfId="0" applyFont="1" applyAlignment="1">
      <alignment wrapText="1"/>
    </xf>
    <xf numFmtId="0" fontId="18" fillId="0" borderId="4" xfId="0" applyFont="1" applyBorder="1" applyAlignment="1">
      <alignment horizontal="center"/>
    </xf>
    <xf numFmtId="1" fontId="15" fillId="0" borderId="4" xfId="0" applyNumberFormat="1" applyFont="1" applyBorder="1"/>
    <xf numFmtId="0" fontId="17" fillId="10" borderId="1" xfId="20" applyFont="1" applyFill="1" applyBorder="1" applyAlignment="1">
      <alignment horizontal="center"/>
    </xf>
    <xf numFmtId="10" fontId="15" fillId="11" borderId="0" xfId="9" applyNumberFormat="1" applyFont="1" applyFill="1"/>
    <xf numFmtId="164" fontId="15" fillId="0" borderId="0" xfId="2" applyNumberFormat="1" applyFont="1" applyFill="1" applyBorder="1"/>
    <xf numFmtId="0" fontId="114" fillId="0" borderId="0" xfId="20" applyFont="1"/>
    <xf numFmtId="4" fontId="28" fillId="0" borderId="0" xfId="6" applyNumberFormat="1" applyFont="1" applyBorder="1" applyAlignment="1" applyProtection="1">
      <alignment horizontal="right"/>
    </xf>
    <xf numFmtId="0" fontId="18" fillId="0" borderId="19" xfId="20" applyFont="1" applyBorder="1" applyAlignment="1">
      <alignment wrapText="1"/>
    </xf>
    <xf numFmtId="0" fontId="18" fillId="0" borderId="28" xfId="20" applyFont="1" applyBorder="1"/>
    <xf numFmtId="0" fontId="18" fillId="0" borderId="25" xfId="3" applyNumberFormat="1" applyFont="1" applyFill="1" applyBorder="1" applyAlignment="1">
      <alignment wrapText="1"/>
    </xf>
    <xf numFmtId="0" fontId="15" fillId="11" borderId="4" xfId="0" applyFont="1" applyFill="1" applyBorder="1" applyAlignment="1">
      <alignment horizontal="center" wrapText="1"/>
    </xf>
    <xf numFmtId="0" fontId="15" fillId="0" borderId="4" xfId="0" applyFont="1" applyBorder="1" applyAlignment="1">
      <alignment wrapText="1"/>
    </xf>
    <xf numFmtId="0" fontId="0" fillId="0" borderId="4" xfId="0" applyBorder="1"/>
    <xf numFmtId="10" fontId="15" fillId="0" borderId="4" xfId="9" applyNumberFormat="1" applyFont="1" applyBorder="1"/>
    <xf numFmtId="10" fontId="15" fillId="0" borderId="0" xfId="9" applyNumberFormat="1" applyFont="1" applyFill="1"/>
    <xf numFmtId="10" fontId="15" fillId="0" borderId="4" xfId="9" applyNumberFormat="1" applyFont="1" applyFill="1" applyBorder="1"/>
    <xf numFmtId="0" fontId="18" fillId="0" borderId="0" xfId="0" applyFont="1" applyAlignment="1">
      <alignment horizontal="center" vertical="top"/>
    </xf>
    <xf numFmtId="10" fontId="18" fillId="11" borderId="0" xfId="0" applyNumberFormat="1" applyFont="1" applyFill="1"/>
    <xf numFmtId="164" fontId="185" fillId="11" borderId="0" xfId="2" applyNumberFormat="1" applyFont="1" applyFill="1"/>
    <xf numFmtId="0" fontId="18" fillId="0" borderId="0" xfId="0" quotePrefix="1" applyFont="1"/>
    <xf numFmtId="0" fontId="131" fillId="0" borderId="0" xfId="0" applyFont="1" applyAlignment="1">
      <alignment horizontal="centerContinuous"/>
    </xf>
    <xf numFmtId="0" fontId="131" fillId="0" borderId="0" xfId="0" applyFont="1"/>
    <xf numFmtId="37" fontId="18" fillId="0" borderId="0" xfId="0" applyNumberFormat="1" applyFont="1" applyAlignment="1">
      <alignment horizontal="center" vertical="top"/>
    </xf>
    <xf numFmtId="0" fontId="18" fillId="11" borderId="0" xfId="0" quotePrefix="1" applyFont="1" applyFill="1" applyAlignment="1">
      <alignment horizontal="center"/>
    </xf>
    <xf numFmtId="0" fontId="17" fillId="0" borderId="0" xfId="1065" applyFont="1" applyAlignment="1">
      <alignment horizontal="center"/>
    </xf>
    <xf numFmtId="0" fontId="17" fillId="0" borderId="0" xfId="1065" applyFont="1" applyAlignment="1">
      <alignment horizontal="centerContinuous"/>
    </xf>
    <xf numFmtId="0" fontId="25" fillId="0" borderId="0" xfId="1064" applyFont="1" applyAlignment="1">
      <alignment horizontal="right"/>
    </xf>
    <xf numFmtId="0" fontId="131" fillId="0" borderId="0" xfId="0" applyFont="1" applyAlignment="1">
      <alignment vertical="top" wrapText="1"/>
    </xf>
    <xf numFmtId="0" fontId="179" fillId="0" borderId="0" xfId="1065" applyFont="1" applyAlignment="1">
      <alignment horizontal="centerContinuous"/>
    </xf>
    <xf numFmtId="0" fontId="18" fillId="11" borderId="0" xfId="0" applyFont="1" applyFill="1" applyAlignment="1">
      <alignment vertical="center"/>
    </xf>
    <xf numFmtId="0" fontId="28" fillId="11" borderId="21" xfId="20" applyFont="1" applyFill="1" applyBorder="1" applyAlignment="1">
      <alignment horizontal="center" wrapText="1"/>
    </xf>
    <xf numFmtId="0" fontId="28" fillId="11" borderId="31" xfId="20" applyFont="1" applyFill="1" applyBorder="1" applyAlignment="1">
      <alignment horizontal="center"/>
    </xf>
    <xf numFmtId="3" fontId="15" fillId="0" borderId="0" xfId="20" applyNumberFormat="1"/>
    <xf numFmtId="3" fontId="15" fillId="0" borderId="4" xfId="20" applyNumberFormat="1" applyBorder="1"/>
    <xf numFmtId="0" fontId="18" fillId="11" borderId="0" xfId="0" applyFont="1" applyFill="1"/>
    <xf numFmtId="0" fontId="15" fillId="11" borderId="0" xfId="0" applyFont="1" applyFill="1"/>
    <xf numFmtId="0" fontId="28" fillId="0" borderId="0" xfId="20" applyFont="1" applyAlignment="1">
      <alignment horizontal="right" wrapText="1"/>
    </xf>
    <xf numFmtId="0" fontId="17" fillId="0" borderId="0" xfId="20" applyFont="1" applyAlignment="1">
      <alignment horizontal="right"/>
    </xf>
    <xf numFmtId="37" fontId="17" fillId="0" borderId="0" xfId="20" applyNumberFormat="1" applyFont="1" applyAlignment="1">
      <alignment horizontal="center"/>
    </xf>
    <xf numFmtId="3" fontId="18" fillId="0" borderId="15" xfId="2" applyNumberFormat="1" applyFont="1" applyFill="1" applyBorder="1"/>
    <xf numFmtId="0" fontId="18" fillId="0" borderId="76" xfId="20" applyFont="1" applyBorder="1"/>
    <xf numFmtId="0" fontId="22" fillId="0" borderId="0" xfId="20" applyFont="1" applyAlignment="1">
      <alignment horizontal="left"/>
    </xf>
    <xf numFmtId="164" fontId="56" fillId="0" borderId="0" xfId="20" applyNumberFormat="1" applyFont="1" applyAlignment="1">
      <alignment horizontal="center"/>
    </xf>
    <xf numFmtId="0" fontId="15" fillId="0" borderId="0" xfId="20" applyAlignment="1">
      <alignment horizontal="left"/>
    </xf>
    <xf numFmtId="0" fontId="110" fillId="0" borderId="0" xfId="20" applyFont="1"/>
    <xf numFmtId="0" fontId="18" fillId="11" borderId="0" xfId="301" applyFont="1" applyFill="1" applyAlignment="1">
      <alignment horizontal="left"/>
    </xf>
    <xf numFmtId="3" fontId="18" fillId="0" borderId="9" xfId="2" applyNumberFormat="1" applyFont="1" applyFill="1" applyBorder="1"/>
    <xf numFmtId="170" fontId="18" fillId="0" borderId="0" xfId="9" applyNumberFormat="1" applyFont="1" applyAlignment="1">
      <alignment horizontal="center"/>
    </xf>
    <xf numFmtId="167" fontId="15" fillId="0" borderId="4" xfId="0" applyNumberFormat="1" applyFont="1" applyBorder="1"/>
    <xf numFmtId="3" fontId="31" fillId="0" borderId="0" xfId="9" applyNumberFormat="1" applyFont="1" applyAlignment="1" applyProtection="1">
      <alignment horizontal="right"/>
    </xf>
    <xf numFmtId="3" fontId="28" fillId="0" borderId="5" xfId="2" applyNumberFormat="1" applyFont="1" applyBorder="1" applyAlignment="1" applyProtection="1">
      <alignment horizontal="right"/>
    </xf>
    <xf numFmtId="3" fontId="28" fillId="0" borderId="5" xfId="2" applyNumberFormat="1" applyFont="1" applyFill="1" applyBorder="1" applyAlignment="1" applyProtection="1">
      <alignment horizontal="right"/>
    </xf>
    <xf numFmtId="3" fontId="18" fillId="8" borderId="56" xfId="20" applyNumberFormat="1" applyFont="1" applyFill="1" applyBorder="1"/>
    <xf numFmtId="3" fontId="18" fillId="8" borderId="26" xfId="2" applyNumberFormat="1" applyFont="1" applyFill="1" applyBorder="1"/>
    <xf numFmtId="3" fontId="18" fillId="8" borderId="57" xfId="20" applyNumberFormat="1" applyFont="1" applyFill="1" applyBorder="1"/>
    <xf numFmtId="3" fontId="18" fillId="8" borderId="13" xfId="2" applyNumberFormat="1" applyFont="1" applyFill="1" applyBorder="1"/>
    <xf numFmtId="3" fontId="18" fillId="11" borderId="57" xfId="20" applyNumberFormat="1" applyFont="1" applyFill="1" applyBorder="1"/>
    <xf numFmtId="3" fontId="17" fillId="0" borderId="33" xfId="20" applyNumberFormat="1" applyFont="1" applyBorder="1"/>
    <xf numFmtId="3" fontId="18" fillId="0" borderId="13" xfId="20" applyNumberFormat="1" applyFont="1" applyBorder="1"/>
    <xf numFmtId="3" fontId="18" fillId="0" borderId="33" xfId="20" applyNumberFormat="1" applyFont="1" applyBorder="1"/>
    <xf numFmtId="3" fontId="18" fillId="0" borderId="13" xfId="20" applyNumberFormat="1" applyFont="1" applyBorder="1" applyAlignment="1">
      <alignment horizontal="right"/>
    </xf>
    <xf numFmtId="3" fontId="17" fillId="0" borderId="30" xfId="20" applyNumberFormat="1" applyFont="1" applyBorder="1"/>
    <xf numFmtId="3" fontId="18" fillId="8" borderId="26" xfId="3" applyNumberFormat="1" applyFont="1" applyFill="1" applyBorder="1"/>
    <xf numFmtId="3" fontId="18" fillId="11" borderId="26" xfId="3" applyNumberFormat="1" applyFont="1" applyFill="1" applyBorder="1"/>
    <xf numFmtId="3" fontId="18" fillId="11" borderId="26" xfId="2" applyNumberFormat="1" applyFont="1" applyFill="1" applyBorder="1"/>
    <xf numFmtId="3" fontId="18" fillId="11" borderId="13" xfId="2" applyNumberFormat="1" applyFont="1" applyFill="1" applyBorder="1"/>
    <xf numFmtId="3" fontId="17" fillId="0" borderId="26" xfId="20" applyNumberFormat="1" applyFont="1" applyBorder="1"/>
    <xf numFmtId="3" fontId="18" fillId="0" borderId="27" xfId="20" applyNumberFormat="1" applyFont="1" applyBorder="1"/>
    <xf numFmtId="3" fontId="18" fillId="0" borderId="0" xfId="2" applyNumberFormat="1" applyFont="1"/>
    <xf numFmtId="3" fontId="18" fillId="11" borderId="0" xfId="2" applyNumberFormat="1" applyFont="1" applyFill="1"/>
    <xf numFmtId="3" fontId="18" fillId="0" borderId="0" xfId="301" applyNumberFormat="1" applyFont="1"/>
    <xf numFmtId="3" fontId="18" fillId="0" borderId="63" xfId="20" applyNumberFormat="1" applyFont="1" applyBorder="1"/>
    <xf numFmtId="3" fontId="18" fillId="0" borderId="61" xfId="20" applyNumberFormat="1" applyFont="1" applyBorder="1"/>
    <xf numFmtId="3" fontId="17" fillId="0" borderId="0" xfId="0" applyNumberFormat="1" applyFont="1"/>
    <xf numFmtId="3" fontId="105" fillId="0" borderId="0" xfId="34" applyNumberFormat="1" applyFont="1" applyAlignment="1">
      <alignment vertical="center" wrapText="1"/>
    </xf>
    <xf numFmtId="3" fontId="105" fillId="11" borderId="0" xfId="34" applyNumberFormat="1" applyFont="1" applyFill="1" applyAlignment="1">
      <alignment vertical="center" wrapText="1"/>
    </xf>
    <xf numFmtId="3" fontId="105" fillId="0" borderId="0" xfId="34" applyNumberFormat="1" applyFont="1" applyAlignment="1">
      <alignment horizontal="left" vertical="center" wrapText="1"/>
    </xf>
    <xf numFmtId="3" fontId="105" fillId="0" borderId="0" xfId="346" applyNumberFormat="1" applyFont="1" applyAlignment="1">
      <alignment horizontal="left" vertical="center"/>
    </xf>
    <xf numFmtId="3" fontId="108" fillId="0" borderId="0" xfId="34" applyNumberFormat="1" applyFont="1" applyAlignment="1">
      <alignment vertical="center" wrapText="1"/>
    </xf>
    <xf numFmtId="3" fontId="108" fillId="0" borderId="0" xfId="34" applyNumberFormat="1" applyFont="1" applyFill="1" applyAlignment="1">
      <alignment vertical="center" wrapText="1"/>
    </xf>
    <xf numFmtId="3" fontId="108" fillId="0" borderId="0" xfId="200" applyNumberFormat="1" applyFont="1" applyFill="1" applyAlignment="1">
      <alignment vertical="center" wrapText="1"/>
    </xf>
    <xf numFmtId="3" fontId="105" fillId="0" borderId="3" xfId="34" applyNumberFormat="1" applyFont="1" applyBorder="1" applyAlignment="1">
      <alignment vertical="center" wrapText="1"/>
    </xf>
    <xf numFmtId="3" fontId="105" fillId="0" borderId="3" xfId="346" applyNumberFormat="1" applyFont="1" applyBorder="1" applyAlignment="1">
      <alignment horizontal="right" vertical="center" wrapText="1"/>
    </xf>
    <xf numFmtId="3" fontId="105" fillId="0" borderId="3" xfId="34" applyNumberFormat="1" applyFont="1" applyFill="1" applyBorder="1" applyAlignment="1">
      <alignment vertical="center" wrapText="1"/>
    </xf>
    <xf numFmtId="3" fontId="108" fillId="0" borderId="3" xfId="346" applyNumberFormat="1" applyFont="1" applyBorder="1"/>
    <xf numFmtId="3" fontId="18" fillId="11" borderId="0" xfId="0" applyNumberFormat="1" applyFont="1" applyFill="1"/>
    <xf numFmtId="3" fontId="18" fillId="0" borderId="0" xfId="1" applyNumberFormat="1" applyFont="1" applyAlignment="1">
      <alignment horizontal="right" wrapText="1"/>
    </xf>
    <xf numFmtId="3" fontId="18" fillId="0" borderId="0" xfId="9" applyNumberFormat="1" applyFont="1" applyFill="1" applyBorder="1" applyAlignment="1">
      <alignment horizontal="center" wrapText="1"/>
    </xf>
    <xf numFmtId="3" fontId="18" fillId="8" borderId="0" xfId="1" applyNumberFormat="1" applyFont="1" applyFill="1" applyAlignment="1">
      <alignment horizontal="right"/>
    </xf>
    <xf numFmtId="3" fontId="18" fillId="0" borderId="0" xfId="1" applyNumberFormat="1" applyFont="1" applyAlignment="1">
      <alignment horizontal="center"/>
    </xf>
    <xf numFmtId="3" fontId="18" fillId="0" borderId="0" xfId="1" applyNumberFormat="1" applyFont="1" applyAlignment="1">
      <alignment horizontal="right"/>
    </xf>
    <xf numFmtId="3" fontId="18" fillId="8" borderId="4" xfId="1" applyNumberFormat="1" applyFont="1" applyFill="1" applyBorder="1" applyAlignment="1">
      <alignment horizontal="right" wrapText="1"/>
    </xf>
    <xf numFmtId="3" fontId="18" fillId="0" borderId="4" xfId="1" applyNumberFormat="1" applyFont="1" applyBorder="1" applyAlignment="1">
      <alignment horizontal="center"/>
    </xf>
    <xf numFmtId="3" fontId="18" fillId="0" borderId="4" xfId="1" applyNumberFormat="1" applyFont="1" applyBorder="1" applyAlignment="1">
      <alignment horizontal="right"/>
    </xf>
    <xf numFmtId="3" fontId="49" fillId="0" borderId="0" xfId="1" applyNumberFormat="1" applyFont="1" applyAlignment="1">
      <alignment horizontal="center"/>
    </xf>
    <xf numFmtId="3" fontId="24" fillId="0" borderId="0" xfId="1" applyNumberFormat="1" applyFont="1" applyAlignment="1">
      <alignment horizontal="center"/>
    </xf>
    <xf numFmtId="3" fontId="24" fillId="0" borderId="0" xfId="1" applyNumberFormat="1" applyFont="1" applyAlignment="1">
      <alignment horizontal="right"/>
    </xf>
    <xf numFmtId="3" fontId="18" fillId="11" borderId="4" xfId="1" applyNumberFormat="1" applyFont="1" applyFill="1" applyBorder="1" applyAlignment="1">
      <alignment horizontal="right" wrapText="1"/>
    </xf>
    <xf numFmtId="3" fontId="18" fillId="0" borderId="4" xfId="9" applyNumberFormat="1" applyFont="1" applyFill="1" applyBorder="1" applyAlignment="1">
      <alignment horizontal="center" wrapText="1"/>
    </xf>
    <xf numFmtId="3" fontId="18" fillId="0" borderId="4" xfId="1" applyNumberFormat="1" applyFont="1" applyBorder="1"/>
    <xf numFmtId="3" fontId="18" fillId="8" borderId="0" xfId="1" applyNumberFormat="1" applyFont="1" applyFill="1" applyAlignment="1">
      <alignment horizontal="right" wrapText="1"/>
    </xf>
    <xf numFmtId="3" fontId="18" fillId="7" borderId="0" xfId="1" applyNumberFormat="1" applyFont="1" applyFill="1" applyAlignment="1">
      <alignment horizontal="right"/>
    </xf>
    <xf numFmtId="3" fontId="18" fillId="0" borderId="0" xfId="2" applyNumberFormat="1" applyFont="1" applyAlignment="1" applyProtection="1">
      <protection locked="0"/>
    </xf>
    <xf numFmtId="3" fontId="18" fillId="0" borderId="0" xfId="2" applyNumberFormat="1" applyFont="1" applyFill="1" applyBorder="1" applyAlignment="1"/>
    <xf numFmtId="3" fontId="18" fillId="0" borderId="0" xfId="2" applyNumberFormat="1" applyFont="1" applyFill="1" applyAlignment="1"/>
    <xf numFmtId="3" fontId="18" fillId="0" borderId="0" xfId="2" applyNumberFormat="1" applyFont="1" applyFill="1" applyAlignment="1">
      <alignment vertical="center" wrapText="1"/>
    </xf>
    <xf numFmtId="3" fontId="18" fillId="0" borderId="0" xfId="0" applyNumberFormat="1" applyFont="1" applyAlignment="1">
      <alignment horizontal="center"/>
    </xf>
    <xf numFmtId="3" fontId="18" fillId="0" borderId="0" xfId="6" applyNumberFormat="1" applyFont="1" applyFill="1" applyBorder="1" applyAlignment="1">
      <alignment horizontal="left"/>
    </xf>
    <xf numFmtId="3" fontId="18" fillId="0" borderId="0" xfId="0" applyNumberFormat="1" applyFont="1" applyAlignment="1">
      <alignment horizontal="left"/>
    </xf>
    <xf numFmtId="3" fontId="18" fillId="11" borderId="0" xfId="6" applyNumberFormat="1" applyFont="1" applyFill="1" applyBorder="1"/>
    <xf numFmtId="3" fontId="18" fillId="11" borderId="0" xfId="20" applyNumberFormat="1" applyFont="1" applyFill="1" applyAlignment="1">
      <alignment horizontal="center"/>
    </xf>
    <xf numFmtId="3" fontId="18" fillId="11" borderId="0" xfId="20" applyNumberFormat="1" applyFont="1" applyFill="1"/>
    <xf numFmtId="3" fontId="18" fillId="0" borderId="73" xfId="6" applyNumberFormat="1" applyFont="1" applyFill="1" applyBorder="1"/>
    <xf numFmtId="3" fontId="18" fillId="0" borderId="73" xfId="20" applyNumberFormat="1" applyFont="1" applyBorder="1"/>
    <xf numFmtId="3" fontId="18" fillId="11" borderId="73" xfId="6" applyNumberFormat="1" applyFont="1" applyFill="1" applyBorder="1"/>
    <xf numFmtId="3" fontId="45" fillId="8" borderId="0" xfId="2" applyNumberFormat="1" applyFont="1" applyFill="1" applyProtection="1">
      <protection locked="0"/>
    </xf>
    <xf numFmtId="165" fontId="45" fillId="0" borderId="0" xfId="2" applyNumberFormat="1" applyFont="1" applyFill="1"/>
    <xf numFmtId="3" fontId="15" fillId="0" borderId="0" xfId="0" applyNumberFormat="1" applyFont="1"/>
    <xf numFmtId="3" fontId="15" fillId="0" borderId="4" xfId="0" applyNumberFormat="1" applyFont="1" applyBorder="1"/>
    <xf numFmtId="3" fontId="15" fillId="0" borderId="0" xfId="9" applyNumberFormat="1" applyFont="1" applyFill="1"/>
    <xf numFmtId="3" fontId="15" fillId="0" borderId="0" xfId="9" applyNumberFormat="1" applyFont="1"/>
    <xf numFmtId="3" fontId="0" fillId="0" borderId="0" xfId="0" applyNumberFormat="1"/>
    <xf numFmtId="3" fontId="0" fillId="0" borderId="4" xfId="0" applyNumberFormat="1" applyBorder="1"/>
    <xf numFmtId="3" fontId="0" fillId="11" borderId="4" xfId="0" applyNumberFormat="1" applyFill="1" applyBorder="1"/>
    <xf numFmtId="3" fontId="16" fillId="0" borderId="0" xfId="0" applyNumberFormat="1" applyFont="1"/>
    <xf numFmtId="3" fontId="18" fillId="0" borderId="0" xfId="3" applyNumberFormat="1" applyFont="1"/>
    <xf numFmtId="3" fontId="56" fillId="0" borderId="0" xfId="3" applyNumberFormat="1" applyFont="1"/>
    <xf numFmtId="3" fontId="56" fillId="0" borderId="0" xfId="3" applyNumberFormat="1" applyFont="1" applyFill="1"/>
    <xf numFmtId="3" fontId="110" fillId="0" borderId="0" xfId="0" applyNumberFormat="1" applyFont="1"/>
    <xf numFmtId="3" fontId="185" fillId="11" borderId="0" xfId="2" applyNumberFormat="1" applyFont="1" applyFill="1"/>
    <xf numFmtId="3" fontId="18" fillId="0" borderId="3" xfId="2" applyNumberFormat="1" applyFont="1" applyBorder="1"/>
    <xf numFmtId="0" fontId="23" fillId="0" borderId="0" xfId="20" applyFont="1" applyAlignment="1">
      <alignment horizontal="right" wrapText="1"/>
    </xf>
    <xf numFmtId="0" fontId="23" fillId="0" borderId="0" xfId="0" applyFont="1" applyAlignment="1">
      <alignment horizontal="right"/>
    </xf>
    <xf numFmtId="3" fontId="18" fillId="0" borderId="0" xfId="9" applyNumberFormat="1" applyFont="1" applyFill="1"/>
    <xf numFmtId="0" fontId="18" fillId="0" borderId="8" xfId="20" applyFont="1" applyBorder="1" applyAlignment="1">
      <alignment wrapText="1"/>
    </xf>
    <xf numFmtId="10" fontId="31" fillId="11" borderId="0" xfId="9" applyNumberFormat="1" applyFont="1" applyFill="1" applyAlignment="1" applyProtection="1">
      <alignment horizontal="right"/>
    </xf>
    <xf numFmtId="0" fontId="18" fillId="0" borderId="0" xfId="20" applyFont="1" applyAlignment="1">
      <alignment horizontal="right" wrapText="1"/>
    </xf>
    <xf numFmtId="37" fontId="18" fillId="0" borderId="5" xfId="1" applyNumberFormat="1" applyFont="1" applyBorder="1" applyAlignment="1" applyProtection="1">
      <alignment horizontal="right" wrapText="1"/>
      <protection locked="0"/>
    </xf>
    <xf numFmtId="3" fontId="18" fillId="0" borderId="0" xfId="6" applyNumberFormat="1" applyFont="1" applyFill="1"/>
    <xf numFmtId="3" fontId="18" fillId="0" borderId="0" xfId="3" applyNumberFormat="1" applyFont="1" applyFill="1"/>
    <xf numFmtId="164" fontId="0" fillId="0" borderId="0" xfId="2" applyNumberFormat="1" applyFont="1"/>
    <xf numFmtId="0" fontId="28" fillId="0" borderId="7" xfId="20" applyFont="1" applyBorder="1" applyAlignment="1">
      <alignment horizontal="center"/>
    </xf>
    <xf numFmtId="0" fontId="28" fillId="0" borderId="8" xfId="20" applyFont="1" applyBorder="1" applyAlignment="1">
      <alignment horizontal="center"/>
    </xf>
    <xf numFmtId="0" fontId="28" fillId="0" borderId="8" xfId="20" applyFont="1" applyBorder="1" applyAlignment="1">
      <alignment horizontal="left"/>
    </xf>
    <xf numFmtId="0" fontId="31" fillId="0" borderId="8" xfId="20" applyFont="1" applyBorder="1" applyAlignment="1">
      <alignment horizontal="left"/>
    </xf>
    <xf numFmtId="4" fontId="28" fillId="0" borderId="24" xfId="6" applyNumberFormat="1" applyFont="1" applyBorder="1" applyAlignment="1" applyProtection="1">
      <alignment horizontal="right"/>
    </xf>
    <xf numFmtId="0" fontId="28" fillId="0" borderId="16" xfId="20" applyFont="1" applyBorder="1" applyAlignment="1">
      <alignment horizontal="center"/>
    </xf>
    <xf numFmtId="4" fontId="28" fillId="0" borderId="15" xfId="6" applyNumberFormat="1" applyFont="1" applyBorder="1" applyAlignment="1" applyProtection="1">
      <alignment horizontal="right"/>
    </xf>
    <xf numFmtId="0" fontId="28" fillId="0" borderId="6" xfId="20" applyFont="1" applyBorder="1" applyAlignment="1">
      <alignment horizontal="center"/>
    </xf>
    <xf numFmtId="0" fontId="28" fillId="0" borderId="2" xfId="20" applyFont="1" applyBorder="1" applyAlignment="1">
      <alignment horizontal="center"/>
    </xf>
    <xf numFmtId="0" fontId="28" fillId="0" borderId="2" xfId="20" applyFont="1" applyBorder="1" applyAlignment="1">
      <alignment horizontal="left"/>
    </xf>
    <xf numFmtId="4" fontId="28" fillId="0" borderId="9" xfId="6" applyNumberFormat="1" applyFont="1" applyBorder="1" applyAlignment="1" applyProtection="1">
      <alignment horizontal="right"/>
    </xf>
    <xf numFmtId="0" fontId="31" fillId="0" borderId="2" xfId="20" applyFont="1" applyBorder="1" applyAlignment="1">
      <alignment horizontal="left"/>
    </xf>
    <xf numFmtId="10" fontId="0" fillId="11" borderId="4" xfId="9" applyNumberFormat="1" applyFont="1" applyFill="1" applyBorder="1"/>
    <xf numFmtId="10" fontId="0" fillId="0" borderId="0" xfId="9" applyNumberFormat="1" applyFont="1"/>
    <xf numFmtId="164" fontId="18" fillId="11" borderId="29" xfId="2" applyNumberFormat="1" applyFont="1" applyFill="1" applyBorder="1" applyAlignment="1">
      <alignment wrapText="1"/>
    </xf>
    <xf numFmtId="0" fontId="18" fillId="11" borderId="25" xfId="3" applyNumberFormat="1" applyFont="1" applyFill="1" applyBorder="1" applyAlignment="1">
      <alignment wrapText="1"/>
    </xf>
    <xf numFmtId="0" fontId="18" fillId="11" borderId="0" xfId="0" applyFont="1" applyFill="1" applyAlignment="1">
      <alignment horizontal="center"/>
    </xf>
    <xf numFmtId="0" fontId="18" fillId="11" borderId="19" xfId="20" applyFont="1" applyFill="1" applyBorder="1" applyAlignment="1">
      <alignment wrapText="1"/>
    </xf>
    <xf numFmtId="0" fontId="15" fillId="11" borderId="0" xfId="0" applyFont="1" applyFill="1" applyAlignment="1">
      <alignment horizontal="center"/>
    </xf>
    <xf numFmtId="3" fontId="45" fillId="0" borderId="0" xfId="3" applyNumberFormat="1" applyFont="1" applyFill="1"/>
    <xf numFmtId="3" fontId="45" fillId="0" borderId="0" xfId="6" applyNumberFormat="1" applyFont="1" applyFill="1"/>
    <xf numFmtId="3" fontId="45" fillId="0" borderId="0" xfId="3" applyNumberFormat="1" applyFont="1" applyFill="1" applyBorder="1"/>
    <xf numFmtId="3" fontId="45" fillId="0" borderId="0" xfId="3" applyNumberFormat="1" applyFont="1"/>
    <xf numFmtId="0" fontId="17" fillId="10" borderId="1" xfId="20" applyFont="1" applyFill="1" applyBorder="1" applyAlignment="1">
      <alignment horizontal="center" wrapText="1"/>
    </xf>
    <xf numFmtId="0" fontId="18" fillId="69" borderId="12" xfId="20" applyFont="1" applyFill="1" applyBorder="1"/>
    <xf numFmtId="1" fontId="18" fillId="0" borderId="0" xfId="2" applyNumberFormat="1" applyFont="1" applyFill="1" applyBorder="1"/>
    <xf numFmtId="280" fontId="22" fillId="0" borderId="0" xfId="0" applyNumberFormat="1" applyFont="1" applyAlignment="1">
      <alignment horizontal="center"/>
    </xf>
    <xf numFmtId="170" fontId="18" fillId="0" borderId="0" xfId="9" applyNumberFormat="1" applyFont="1" applyFill="1" applyAlignment="1">
      <alignment horizontal="center" wrapText="1"/>
    </xf>
    <xf numFmtId="171" fontId="18" fillId="0" borderId="0" xfId="1" applyNumberFormat="1" applyFont="1" applyAlignment="1">
      <alignment horizontal="center" wrapText="1"/>
    </xf>
    <xf numFmtId="0" fontId="18" fillId="0" borderId="5" xfId="1" applyFont="1" applyBorder="1"/>
    <xf numFmtId="3" fontId="18" fillId="0" borderId="22" xfId="1" applyNumberFormat="1" applyFont="1" applyBorder="1" applyAlignment="1">
      <alignment horizontal="right" wrapText="1"/>
    </xf>
    <xf numFmtId="3" fontId="18" fillId="0" borderId="0" xfId="2" applyNumberFormat="1" applyFont="1" applyFill="1" applyAlignment="1">
      <alignment horizontal="right" wrapText="1"/>
    </xf>
    <xf numFmtId="37" fontId="24" fillId="0" borderId="0" xfId="1" applyNumberFormat="1" applyFont="1"/>
    <xf numFmtId="37" fontId="18" fillId="0" borderId="0" xfId="1" applyNumberFormat="1" applyFont="1"/>
    <xf numFmtId="3" fontId="18" fillId="0" borderId="0" xfId="2" applyNumberFormat="1" applyFont="1" applyFill="1" applyAlignment="1">
      <alignment horizontal="right"/>
    </xf>
    <xf numFmtId="164" fontId="18" fillId="0" borderId="0" xfId="2" applyNumberFormat="1" applyFont="1" applyFill="1" applyAlignment="1">
      <alignment horizontal="right"/>
    </xf>
    <xf numFmtId="3" fontId="186" fillId="0" borderId="15" xfId="20" applyNumberFormat="1" applyFont="1" applyBorder="1" applyAlignment="1">
      <alignment horizontal="center" wrapText="1"/>
    </xf>
    <xf numFmtId="3" fontId="187" fillId="0" borderId="20" xfId="2" applyNumberFormat="1" applyFont="1" applyFill="1" applyBorder="1"/>
    <xf numFmtId="10" fontId="0" fillId="0" borderId="0" xfId="0" applyNumberFormat="1"/>
    <xf numFmtId="10" fontId="15" fillId="0" borderId="0" xfId="0" applyNumberFormat="1" applyFont="1"/>
    <xf numFmtId="10" fontId="18" fillId="0" borderId="0" xfId="0" applyNumberFormat="1" applyFont="1"/>
    <xf numFmtId="10" fontId="18" fillId="0" borderId="0" xfId="523" applyNumberFormat="1" applyFont="1"/>
    <xf numFmtId="10" fontId="15" fillId="0" borderId="0" xfId="523" applyNumberFormat="1" applyFont="1" applyAlignment="1">
      <alignment horizontal="center"/>
    </xf>
    <xf numFmtId="10" fontId="15" fillId="0" borderId="0" xfId="291" applyNumberFormat="1" applyFont="1"/>
    <xf numFmtId="3" fontId="18" fillId="11" borderId="20" xfId="2" applyNumberFormat="1" applyFont="1" applyFill="1" applyBorder="1"/>
    <xf numFmtId="3" fontId="18" fillId="11" borderId="0" xfId="6" applyNumberFormat="1" applyFont="1" applyFill="1"/>
    <xf numFmtId="3" fontId="18" fillId="11" borderId="0" xfId="3" applyNumberFormat="1" applyFont="1" applyFill="1"/>
    <xf numFmtId="3" fontId="45" fillId="11" borderId="0" xfId="3" applyNumberFormat="1" applyFont="1" applyFill="1"/>
    <xf numFmtId="0" fontId="18" fillId="0" borderId="0" xfId="0" applyFont="1" applyAlignment="1">
      <alignment horizontal="center" wrapText="1"/>
    </xf>
    <xf numFmtId="3" fontId="18" fillId="0" borderId="64" xfId="2" applyNumberFormat="1" applyFont="1" applyFill="1" applyBorder="1"/>
    <xf numFmtId="3" fontId="18" fillId="0" borderId="63" xfId="2" applyNumberFormat="1" applyFont="1" applyFill="1" applyBorder="1"/>
    <xf numFmtId="3" fontId="18" fillId="0" borderId="65" xfId="2" applyNumberFormat="1" applyFont="1" applyFill="1" applyBorder="1"/>
    <xf numFmtId="3" fontId="18" fillId="0" borderId="26" xfId="2" applyNumberFormat="1" applyFont="1" applyFill="1" applyBorder="1"/>
    <xf numFmtId="3" fontId="18" fillId="0" borderId="13" xfId="2" applyNumberFormat="1" applyFont="1" applyFill="1" applyBorder="1"/>
    <xf numFmtId="3" fontId="45" fillId="0" borderId="0" xfId="1" applyNumberFormat="1" applyFont="1"/>
    <xf numFmtId="3" fontId="45" fillId="0" borderId="0" xfId="2" applyNumberFormat="1" applyFont="1"/>
    <xf numFmtId="3" fontId="45" fillId="0" borderId="0" xfId="301" applyNumberFormat="1" applyFont="1"/>
    <xf numFmtId="0" fontId="34" fillId="0" borderId="22" xfId="20" applyFont="1" applyBorder="1" applyAlignment="1">
      <alignment horizontal="center"/>
    </xf>
    <xf numFmtId="0" fontId="31" fillId="0" borderId="0" xfId="20" applyFont="1" applyAlignment="1">
      <alignment horizontal="center" vertical="center"/>
    </xf>
    <xf numFmtId="0" fontId="31" fillId="0" borderId="0" xfId="20" applyFont="1" applyAlignment="1">
      <alignment vertical="center"/>
    </xf>
    <xf numFmtId="238" fontId="18" fillId="0" borderId="0" xfId="2" applyNumberFormat="1" applyFont="1" applyAlignment="1">
      <alignment horizontal="left"/>
    </xf>
    <xf numFmtId="3" fontId="31" fillId="0" borderId="4" xfId="20" applyNumberFormat="1" applyFont="1" applyBorder="1" applyAlignment="1">
      <alignment wrapText="1"/>
    </xf>
    <xf numFmtId="0" fontId="16" fillId="10" borderId="12" xfId="20" applyFont="1" applyFill="1" applyBorder="1" applyAlignment="1">
      <alignment horizontal="center"/>
    </xf>
    <xf numFmtId="0" fontId="16" fillId="10" borderId="14" xfId="20" applyFont="1" applyFill="1" applyBorder="1" applyAlignment="1">
      <alignment horizontal="center" wrapText="1"/>
    </xf>
    <xf numFmtId="0" fontId="16" fillId="0" borderId="0" xfId="20" applyFont="1" applyAlignment="1">
      <alignment horizontal="center" wrapText="1"/>
    </xf>
    <xf numFmtId="0" fontId="16" fillId="10" borderId="11" xfId="20" applyFont="1" applyFill="1" applyBorder="1" applyAlignment="1">
      <alignment horizontal="center"/>
    </xf>
    <xf numFmtId="0" fontId="0" fillId="69" borderId="7" xfId="0" applyFill="1" applyBorder="1"/>
    <xf numFmtId="0" fontId="16" fillId="69" borderId="6" xfId="20" applyFont="1" applyFill="1" applyBorder="1" applyAlignment="1">
      <alignment horizontal="center"/>
    </xf>
    <xf numFmtId="0" fontId="16" fillId="69" borderId="2" xfId="20" applyFont="1" applyFill="1" applyBorder="1" applyAlignment="1">
      <alignment horizontal="center"/>
    </xf>
    <xf numFmtId="0" fontId="16" fillId="69" borderId="9" xfId="20" applyFont="1" applyFill="1" applyBorder="1" applyAlignment="1">
      <alignment horizontal="center"/>
    </xf>
    <xf numFmtId="0" fontId="16" fillId="69" borderId="8" xfId="0" applyFont="1" applyFill="1" applyBorder="1" applyAlignment="1">
      <alignment horizontal="center"/>
    </xf>
    <xf numFmtId="0" fontId="16" fillId="69" borderId="24" xfId="0" applyFont="1" applyFill="1" applyBorder="1" applyAlignment="1">
      <alignment horizontal="center"/>
    </xf>
    <xf numFmtId="3" fontId="15" fillId="0" borderId="0" xfId="20" applyNumberFormat="1" applyAlignment="1">
      <alignment wrapText="1"/>
    </xf>
    <xf numFmtId="1" fontId="105" fillId="0" borderId="0" xfId="2" applyNumberFormat="1" applyFont="1" applyFill="1" applyBorder="1"/>
    <xf numFmtId="1" fontId="18" fillId="0" borderId="0" xfId="20" applyNumberFormat="1" applyFont="1"/>
    <xf numFmtId="0" fontId="110" fillId="0" borderId="0" xfId="0" applyFont="1" applyAlignment="1">
      <alignment horizontal="center" wrapText="1"/>
    </xf>
    <xf numFmtId="1" fontId="0" fillId="0" borderId="0" xfId="0" applyNumberFormat="1"/>
    <xf numFmtId="3" fontId="105" fillId="0" borderId="0" xfId="2" applyNumberFormat="1" applyFont="1" applyFill="1" applyBorder="1"/>
    <xf numFmtId="3" fontId="18" fillId="0" borderId="2" xfId="2" applyNumberFormat="1" applyFont="1" applyBorder="1"/>
    <xf numFmtId="3" fontId="18" fillId="0" borderId="0" xfId="6" applyNumberFormat="1" applyFont="1" applyBorder="1"/>
    <xf numFmtId="0" fontId="15" fillId="0" borderId="4" xfId="0" applyFont="1" applyBorder="1" applyAlignment="1">
      <alignment horizontal="center" wrapText="1"/>
    </xf>
    <xf numFmtId="37" fontId="18" fillId="0" borderId="0" xfId="2" applyNumberFormat="1" applyFont="1" applyFill="1"/>
    <xf numFmtId="0" fontId="105" fillId="11" borderId="0" xfId="0" applyFont="1" applyFill="1"/>
    <xf numFmtId="3" fontId="18" fillId="0" borderId="0" xfId="6" applyNumberFormat="1" applyFont="1" applyFill="1" applyAlignment="1">
      <alignment horizontal="center"/>
    </xf>
    <xf numFmtId="3" fontId="18" fillId="0" borderId="0" xfId="3" applyNumberFormat="1" applyFont="1" applyFill="1" applyAlignment="1">
      <alignment horizontal="center"/>
    </xf>
    <xf numFmtId="3" fontId="45" fillId="0" borderId="0" xfId="0" applyNumberFormat="1" applyFont="1"/>
    <xf numFmtId="0" fontId="18" fillId="11" borderId="0" xfId="0" applyFont="1" applyFill="1" applyAlignment="1">
      <alignment wrapText="1"/>
    </xf>
    <xf numFmtId="167" fontId="18" fillId="11" borderId="0" xfId="9" applyNumberFormat="1" applyFont="1" applyFill="1"/>
    <xf numFmtId="167" fontId="18" fillId="0" borderId="0" xfId="9" applyNumberFormat="1" applyFont="1" applyFill="1"/>
    <xf numFmtId="3" fontId="45" fillId="11" borderId="0" xfId="0" applyNumberFormat="1" applyFont="1" applyFill="1"/>
    <xf numFmtId="3" fontId="45" fillId="11" borderId="0" xfId="6" applyNumberFormat="1" applyFont="1" applyFill="1"/>
    <xf numFmtId="0" fontId="108" fillId="11" borderId="0" xfId="0" applyFont="1" applyFill="1" applyAlignment="1">
      <alignment wrapText="1"/>
    </xf>
    <xf numFmtId="3" fontId="18" fillId="0" borderId="0" xfId="3" applyNumberFormat="1" applyFont="1" applyFill="1" applyBorder="1" applyAlignment="1">
      <alignment horizontal="center"/>
    </xf>
    <xf numFmtId="3" fontId="18" fillId="0" borderId="0" xfId="3" applyNumberFormat="1" applyFont="1" applyBorder="1"/>
    <xf numFmtId="3" fontId="18" fillId="0" borderId="0" xfId="3" applyNumberFormat="1" applyFont="1" applyFill="1" applyBorder="1"/>
    <xf numFmtId="3" fontId="45" fillId="0" borderId="0" xfId="6" applyNumberFormat="1" applyFont="1" applyBorder="1"/>
    <xf numFmtId="41" fontId="18" fillId="0" borderId="0" xfId="3" applyFont="1" applyBorder="1"/>
    <xf numFmtId="170" fontId="0" fillId="0" borderId="0" xfId="9" applyNumberFormat="1" applyFont="1"/>
    <xf numFmtId="3" fontId="18" fillId="78" borderId="0" xfId="0" applyNumberFormat="1" applyFont="1" applyFill="1"/>
    <xf numFmtId="0" fontId="17" fillId="0" borderId="15" xfId="20" applyFont="1" applyBorder="1" applyAlignment="1">
      <alignment horizontal="center" wrapText="1"/>
    </xf>
    <xf numFmtId="0" fontId="189" fillId="0" borderId="0" xfId="20" applyFont="1" applyAlignment="1">
      <alignment horizontal="center"/>
    </xf>
    <xf numFmtId="0" fontId="189" fillId="0" borderId="5" xfId="20" applyFont="1" applyBorder="1" applyAlignment="1">
      <alignment horizontal="center"/>
    </xf>
    <xf numFmtId="0" fontId="189" fillId="0" borderId="3" xfId="20" applyFont="1" applyBorder="1" applyAlignment="1">
      <alignment horizontal="center"/>
    </xf>
    <xf numFmtId="0" fontId="189" fillId="0" borderId="4" xfId="20" applyFont="1" applyBorder="1" applyAlignment="1">
      <alignment horizontal="center"/>
    </xf>
    <xf numFmtId="43" fontId="189" fillId="0" borderId="5" xfId="2" applyFont="1" applyBorder="1" applyAlignment="1" applyProtection="1">
      <alignment horizontal="center"/>
    </xf>
    <xf numFmtId="0" fontId="189" fillId="0" borderId="10" xfId="20" applyFont="1" applyBorder="1" applyAlignment="1">
      <alignment horizontal="center"/>
    </xf>
    <xf numFmtId="3" fontId="189" fillId="0" borderId="0" xfId="20" quotePrefix="1" applyNumberFormat="1" applyFont="1" applyAlignment="1">
      <alignment horizontal="center"/>
    </xf>
    <xf numFmtId="168" fontId="189" fillId="0" borderId="10" xfId="20" applyNumberFormat="1" applyFont="1" applyBorder="1" applyAlignment="1">
      <alignment horizontal="center"/>
    </xf>
    <xf numFmtId="168" fontId="189" fillId="0" borderId="5" xfId="20" applyNumberFormat="1" applyFont="1" applyBorder="1" applyAlignment="1">
      <alignment horizontal="center"/>
    </xf>
    <xf numFmtId="0" fontId="189" fillId="0" borderId="12" xfId="20" applyFont="1" applyBorder="1" applyAlignment="1">
      <alignment horizontal="center"/>
    </xf>
    <xf numFmtId="0" fontId="189" fillId="0" borderId="8" xfId="20" applyFont="1" applyBorder="1" applyAlignment="1">
      <alignment horizontal="center"/>
    </xf>
    <xf numFmtId="0" fontId="189" fillId="0" borderId="2" xfId="20" applyFont="1" applyBorder="1" applyAlignment="1">
      <alignment horizontal="center"/>
    </xf>
    <xf numFmtId="0" fontId="189" fillId="5" borderId="0" xfId="20" applyFont="1" applyFill="1" applyAlignment="1">
      <alignment horizontal="center"/>
    </xf>
    <xf numFmtId="3" fontId="189" fillId="0" borderId="0" xfId="20" applyNumberFormat="1" applyFont="1" applyAlignment="1">
      <alignment horizontal="center"/>
    </xf>
    <xf numFmtId="167" fontId="189" fillId="0" borderId="0" xfId="20" applyNumberFormat="1" applyFont="1" applyAlignment="1">
      <alignment horizontal="center"/>
    </xf>
    <xf numFmtId="3" fontId="189" fillId="0" borderId="4" xfId="20" applyNumberFormat="1" applyFont="1" applyBorder="1" applyAlignment="1">
      <alignment horizontal="center"/>
    </xf>
    <xf numFmtId="3" fontId="189" fillId="0" borderId="3" xfId="20" applyNumberFormat="1" applyFont="1" applyBorder="1" applyAlignment="1">
      <alignment horizontal="center"/>
    </xf>
    <xf numFmtId="168" fontId="189" fillId="0" borderId="0" xfId="20" applyNumberFormat="1" applyFont="1" applyAlignment="1">
      <alignment horizontal="center"/>
    </xf>
    <xf numFmtId="168" fontId="189" fillId="0" borderId="4" xfId="20" applyNumberFormat="1" applyFont="1" applyBorder="1" applyAlignment="1">
      <alignment horizontal="center"/>
    </xf>
    <xf numFmtId="0" fontId="189" fillId="0" borderId="22" xfId="20" applyFont="1" applyBorder="1" applyAlignment="1">
      <alignment horizontal="center"/>
    </xf>
    <xf numFmtId="37" fontId="189" fillId="0" borderId="0" xfId="20" applyNumberFormat="1" applyFont="1" applyAlignment="1">
      <alignment horizontal="center"/>
    </xf>
    <xf numFmtId="0" fontId="189" fillId="0" borderId="0" xfId="1" applyFont="1" applyAlignment="1">
      <alignment horizontal="center"/>
    </xf>
    <xf numFmtId="3" fontId="18" fillId="8" borderId="13" xfId="3" applyNumberFormat="1" applyFont="1" applyFill="1" applyBorder="1"/>
    <xf numFmtId="3" fontId="18" fillId="11" borderId="13" xfId="301" applyNumberFormat="1" applyFont="1" applyFill="1" applyBorder="1"/>
    <xf numFmtId="0" fontId="190" fillId="0" borderId="0" xfId="0" applyFont="1"/>
    <xf numFmtId="0" fontId="18" fillId="0" borderId="0" xfId="1" applyFont="1" applyAlignment="1">
      <alignment vertical="center" wrapText="1"/>
    </xf>
    <xf numFmtId="0" fontId="17" fillId="0" borderId="2" xfId="20" applyFont="1" applyBorder="1" applyAlignment="1">
      <alignment horizontal="center" wrapText="1"/>
    </xf>
    <xf numFmtId="0" fontId="17" fillId="0" borderId="9" xfId="20" applyFont="1" applyBorder="1" applyAlignment="1">
      <alignment horizontal="center" wrapText="1"/>
    </xf>
    <xf numFmtId="0" fontId="17" fillId="10" borderId="12" xfId="20" applyFont="1" applyFill="1" applyBorder="1" applyAlignment="1">
      <alignment horizontal="center" wrapText="1"/>
    </xf>
    <xf numFmtId="0" fontId="17" fillId="10" borderId="14" xfId="20" applyFont="1" applyFill="1" applyBorder="1" applyAlignment="1">
      <alignment horizontal="center" wrapText="1"/>
    </xf>
    <xf numFmtId="0" fontId="17" fillId="10" borderId="8" xfId="20" applyFont="1" applyFill="1" applyBorder="1" applyAlignment="1">
      <alignment horizontal="center" wrapText="1"/>
    </xf>
    <xf numFmtId="0" fontId="17" fillId="0" borderId="0" xfId="20" applyFont="1" applyAlignment="1">
      <alignment horizontal="center" wrapText="1"/>
    </xf>
    <xf numFmtId="0" fontId="15" fillId="0" borderId="0" xfId="0" applyFont="1" applyAlignment="1">
      <alignment horizontal="center"/>
    </xf>
    <xf numFmtId="0" fontId="25" fillId="0" borderId="0" xfId="0" applyFont="1" applyAlignment="1">
      <alignment horizontal="left"/>
    </xf>
    <xf numFmtId="0" fontId="22" fillId="0" borderId="0" xfId="0" applyFont="1" applyAlignment="1">
      <alignment horizontal="center"/>
    </xf>
    <xf numFmtId="279" fontId="18" fillId="0" borderId="0" xfId="6" applyNumberFormat="1" applyFont="1"/>
    <xf numFmtId="0" fontId="18" fillId="0" borderId="78" xfId="20" applyFont="1" applyBorder="1"/>
    <xf numFmtId="1" fontId="191" fillId="0" borderId="0" xfId="0" applyNumberFormat="1" applyFont="1"/>
    <xf numFmtId="3" fontId="18" fillId="8" borderId="0" xfId="20" applyNumberFormat="1" applyFont="1" applyFill="1" applyAlignment="1">
      <alignment horizontal="right" wrapText="1"/>
    </xf>
    <xf numFmtId="3" fontId="189" fillId="0" borderId="0" xfId="20" applyNumberFormat="1" applyFont="1" applyAlignment="1">
      <alignment horizontal="center" wrapText="1"/>
    </xf>
    <xf numFmtId="3" fontId="186" fillId="11" borderId="26" xfId="2" applyNumberFormat="1" applyFont="1" applyFill="1" applyBorder="1"/>
    <xf numFmtId="3" fontId="186" fillId="11" borderId="13" xfId="2" applyNumberFormat="1" applyFont="1" applyFill="1" applyBorder="1"/>
    <xf numFmtId="3" fontId="186" fillId="11" borderId="26" xfId="3" applyNumberFormat="1" applyFont="1" applyFill="1" applyBorder="1"/>
    <xf numFmtId="3" fontId="45" fillId="0" borderId="0" xfId="2" applyNumberFormat="1" applyFont="1" applyFill="1"/>
    <xf numFmtId="3" fontId="18" fillId="11" borderId="0" xfId="20" applyNumberFormat="1" applyFont="1" applyFill="1" applyAlignment="1">
      <alignment horizontal="right" wrapText="1"/>
    </xf>
    <xf numFmtId="3" fontId="18" fillId="0" borderId="0" xfId="2" applyNumberFormat="1" applyFont="1" applyFill="1" applyAlignment="1" applyProtection="1">
      <protection locked="0"/>
    </xf>
    <xf numFmtId="3" fontId="18" fillId="0" borderId="0" xfId="2" applyNumberFormat="1" applyFont="1" applyFill="1" applyAlignment="1" applyProtection="1"/>
    <xf numFmtId="3" fontId="18" fillId="0" borderId="0" xfId="20" applyNumberFormat="1" applyFont="1" applyProtection="1">
      <protection locked="0"/>
    </xf>
    <xf numFmtId="3" fontId="45" fillId="0" borderId="0" xfId="20" applyNumberFormat="1" applyFont="1"/>
    <xf numFmtId="164" fontId="18" fillId="11" borderId="0" xfId="10334" applyNumberFormat="1" applyFont="1" applyFill="1"/>
    <xf numFmtId="3" fontId="18" fillId="11" borderId="2" xfId="2" applyNumberFormat="1" applyFont="1" applyFill="1" applyBorder="1"/>
    <xf numFmtId="164" fontId="18" fillId="11" borderId="0" xfId="2" applyNumberFormat="1" applyFont="1" applyFill="1" applyBorder="1" applyAlignment="1">
      <alignment horizontal="center"/>
    </xf>
    <xf numFmtId="164" fontId="18" fillId="11" borderId="0" xfId="2" applyNumberFormat="1" applyFont="1" applyFill="1" applyBorder="1"/>
    <xf numFmtId="164" fontId="18" fillId="11" borderId="0" xfId="2" applyNumberFormat="1" applyFont="1" applyFill="1" applyBorder="1" applyAlignment="1">
      <alignment horizontal="right"/>
    </xf>
    <xf numFmtId="37" fontId="18" fillId="8" borderId="0" xfId="2" applyNumberFormat="1" applyFont="1" applyFill="1" applyBorder="1"/>
    <xf numFmtId="3" fontId="18" fillId="11" borderId="0" xfId="10334" applyNumberFormat="1" applyFont="1" applyFill="1"/>
    <xf numFmtId="1" fontId="18" fillId="11" borderId="0" xfId="2" applyNumberFormat="1" applyFont="1" applyFill="1" applyBorder="1"/>
    <xf numFmtId="164" fontId="18" fillId="11" borderId="0" xfId="10334" applyNumberFormat="1" applyFont="1" applyFill="1" applyBorder="1"/>
    <xf numFmtId="3" fontId="18" fillId="78" borderId="0" xfId="2" applyNumberFormat="1" applyFont="1" applyFill="1" applyBorder="1"/>
    <xf numFmtId="164" fontId="18" fillId="11" borderId="2" xfId="10334" applyNumberFormat="1" applyFont="1" applyFill="1" applyBorder="1"/>
    <xf numFmtId="10" fontId="18" fillId="11" borderId="0" xfId="9" applyNumberFormat="1" applyFont="1" applyFill="1" applyBorder="1"/>
    <xf numFmtId="10" fontId="18" fillId="11" borderId="2" xfId="9" applyNumberFormat="1" applyFont="1" applyFill="1" applyBorder="1"/>
    <xf numFmtId="3" fontId="18" fillId="69" borderId="0" xfId="2" applyNumberFormat="1" applyFont="1" applyFill="1" applyBorder="1"/>
    <xf numFmtId="176" fontId="18" fillId="69" borderId="0" xfId="2" applyNumberFormat="1" applyFont="1" applyFill="1" applyBorder="1"/>
    <xf numFmtId="3" fontId="18" fillId="69" borderId="0" xfId="6" applyNumberFormat="1" applyFont="1" applyFill="1" applyBorder="1" applyAlignment="1">
      <alignment horizontal="left"/>
    </xf>
    <xf numFmtId="3" fontId="18" fillId="69" borderId="0" xfId="0" applyNumberFormat="1" applyFont="1" applyFill="1" applyAlignment="1">
      <alignment horizontal="left"/>
    </xf>
    <xf numFmtId="3" fontId="18" fillId="0" borderId="0" xfId="9" applyNumberFormat="1" applyFont="1" applyFill="1" applyBorder="1"/>
    <xf numFmtId="37" fontId="18" fillId="11" borderId="0" xfId="2" applyNumberFormat="1" applyFont="1" applyFill="1"/>
    <xf numFmtId="37" fontId="18" fillId="8" borderId="0" xfId="2" applyNumberFormat="1" applyFont="1" applyFill="1"/>
    <xf numFmtId="3" fontId="18" fillId="0" borderId="31" xfId="20" applyNumberFormat="1" applyFont="1" applyBorder="1"/>
    <xf numFmtId="10" fontId="18" fillId="0" borderId="0" xfId="9" applyNumberFormat="1" applyFont="1" applyFill="1" applyAlignment="1">
      <alignment horizontal="center"/>
    </xf>
    <xf numFmtId="3" fontId="56" fillId="0" borderId="0" xfId="3" applyNumberFormat="1" applyFont="1" applyBorder="1"/>
    <xf numFmtId="3" fontId="15" fillId="11" borderId="0" xfId="0" applyNumberFormat="1" applyFont="1" applyFill="1"/>
    <xf numFmtId="3" fontId="110" fillId="11" borderId="0" xfId="0" applyNumberFormat="1" applyFont="1" applyFill="1"/>
    <xf numFmtId="166" fontId="18" fillId="11" borderId="0" xfId="6" applyNumberFormat="1" applyFont="1" applyFill="1"/>
    <xf numFmtId="164" fontId="18" fillId="11" borderId="4" xfId="2" applyNumberFormat="1" applyFont="1" applyFill="1" applyBorder="1"/>
    <xf numFmtId="164" fontId="15" fillId="11" borderId="0" xfId="2" applyNumberFormat="1" applyFont="1" applyFill="1"/>
    <xf numFmtId="164" fontId="15" fillId="0" borderId="0" xfId="2" applyNumberFormat="1" applyFont="1" applyFill="1"/>
    <xf numFmtId="3" fontId="18" fillId="11" borderId="13" xfId="3" applyNumberFormat="1" applyFont="1" applyFill="1" applyBorder="1"/>
    <xf numFmtId="37" fontId="18" fillId="11" borderId="0" xfId="2" applyNumberFormat="1" applyFont="1" applyFill="1" applyBorder="1" applyAlignment="1">
      <alignment horizontal="right"/>
    </xf>
    <xf numFmtId="37" fontId="18" fillId="69" borderId="4" xfId="20" applyNumberFormat="1" applyFont="1" applyFill="1" applyBorder="1" applyAlignment="1">
      <alignment horizontal="right" wrapText="1"/>
    </xf>
    <xf numFmtId="3" fontId="17" fillId="0" borderId="65" xfId="2" applyNumberFormat="1" applyFont="1" applyFill="1" applyBorder="1"/>
    <xf numFmtId="3" fontId="18" fillId="8" borderId="79" xfId="20" applyNumberFormat="1" applyFont="1" applyFill="1" applyBorder="1"/>
    <xf numFmtId="3" fontId="18" fillId="8" borderId="13" xfId="20" applyNumberFormat="1" applyFont="1" applyFill="1" applyBorder="1"/>
    <xf numFmtId="3" fontId="18" fillId="8" borderId="33" xfId="20" applyNumberFormat="1" applyFont="1" applyFill="1" applyBorder="1"/>
    <xf numFmtId="3" fontId="186" fillId="11" borderId="26" xfId="20" applyNumberFormat="1" applyFont="1" applyFill="1" applyBorder="1"/>
    <xf numFmtId="3" fontId="186" fillId="11" borderId="13" xfId="20" applyNumberFormat="1" applyFont="1" applyFill="1" applyBorder="1"/>
    <xf numFmtId="0" fontId="16" fillId="0" borderId="0" xfId="0" applyFont="1"/>
    <xf numFmtId="3" fontId="105" fillId="11" borderId="0" xfId="2" applyNumberFormat="1" applyFont="1" applyFill="1"/>
    <xf numFmtId="0" fontId="18" fillId="79" borderId="0" xfId="0" applyFont="1" applyFill="1" applyAlignment="1">
      <alignment horizontal="center"/>
    </xf>
    <xf numFmtId="164" fontId="18" fillId="79" borderId="0" xfId="2" applyNumberFormat="1" applyFont="1" applyFill="1"/>
    <xf numFmtId="0" fontId="18" fillId="79" borderId="0" xfId="0" applyFont="1" applyFill="1"/>
    <xf numFmtId="0" fontId="0" fillId="79" borderId="0" xfId="0" applyFill="1"/>
    <xf numFmtId="170" fontId="18" fillId="79" borderId="0" xfId="0" applyNumberFormat="1" applyFont="1" applyFill="1"/>
    <xf numFmtId="3" fontId="18" fillId="79" borderId="0" xfId="0" applyNumberFormat="1" applyFont="1" applyFill="1"/>
    <xf numFmtId="0" fontId="17" fillId="79" borderId="0" xfId="1" applyFont="1" applyFill="1"/>
    <xf numFmtId="0" fontId="18" fillId="79" borderId="0" xfId="20" applyFont="1" applyFill="1" applyAlignment="1">
      <alignment horizontal="left"/>
    </xf>
    <xf numFmtId="0" fontId="18" fillId="79" borderId="0" xfId="20" applyFont="1" applyFill="1"/>
    <xf numFmtId="0" fontId="18" fillId="80" borderId="2" xfId="20" applyFont="1" applyFill="1" applyBorder="1" applyAlignment="1">
      <alignment horizontal="left"/>
    </xf>
    <xf numFmtId="0" fontId="18" fillId="80" borderId="0" xfId="20" applyFont="1" applyFill="1"/>
    <xf numFmtId="3" fontId="18" fillId="80" borderId="0" xfId="6" applyNumberFormat="1" applyFont="1" applyFill="1" applyBorder="1"/>
    <xf numFmtId="0" fontId="17" fillId="10" borderId="11" xfId="20" applyFont="1" applyFill="1" applyBorder="1" applyAlignment="1">
      <alignment horizontal="center" wrapText="1"/>
    </xf>
    <xf numFmtId="0" fontId="0" fillId="0" borderId="15" xfId="0" applyBorder="1"/>
    <xf numFmtId="0" fontId="18" fillId="0" borderId="15" xfId="0" applyFont="1" applyBorder="1" applyAlignment="1">
      <alignment horizontal="center"/>
    </xf>
    <xf numFmtId="0" fontId="18" fillId="80" borderId="0" xfId="0" applyFont="1" applyFill="1" applyAlignment="1">
      <alignment horizontal="left"/>
    </xf>
    <xf numFmtId="0" fontId="18" fillId="80" borderId="0" xfId="1" applyFont="1" applyFill="1"/>
    <xf numFmtId="164" fontId="18" fillId="80" borderId="0" xfId="2" applyNumberFormat="1" applyFont="1" applyFill="1"/>
    <xf numFmtId="3" fontId="31" fillId="80" borderId="0" xfId="20" applyNumberFormat="1" applyFont="1" applyFill="1"/>
    <xf numFmtId="17" fontId="18" fillId="0" borderId="15" xfId="0" applyNumberFormat="1" applyFont="1" applyBorder="1" applyAlignment="1">
      <alignment horizontal="center"/>
    </xf>
    <xf numFmtId="17" fontId="15" fillId="0" borderId="0" xfId="0" applyNumberFormat="1" applyFont="1"/>
    <xf numFmtId="3" fontId="16" fillId="0" borderId="11" xfId="0" applyNumberFormat="1" applyFont="1" applyBorder="1"/>
    <xf numFmtId="3" fontId="0" fillId="0" borderId="12" xfId="0" applyNumberFormat="1" applyBorder="1"/>
    <xf numFmtId="3" fontId="16" fillId="0" borderId="14" xfId="0" applyNumberFormat="1" applyFont="1" applyBorder="1"/>
    <xf numFmtId="176" fontId="28" fillId="0" borderId="0" xfId="20" applyNumberFormat="1" applyFont="1" applyAlignment="1">
      <alignment horizontal="right"/>
    </xf>
    <xf numFmtId="0" fontId="18" fillId="78" borderId="16" xfId="20" applyFont="1" applyFill="1" applyBorder="1" applyAlignment="1">
      <alignment horizontal="center"/>
    </xf>
    <xf numFmtId="3" fontId="18" fillId="79" borderId="0" xfId="2" applyNumberFormat="1" applyFont="1" applyFill="1" applyBorder="1"/>
    <xf numFmtId="0" fontId="0" fillId="0" borderId="75" xfId="0" applyBorder="1" applyAlignment="1">
      <alignment horizontal="center"/>
    </xf>
    <xf numFmtId="0" fontId="0" fillId="0" borderId="9" xfId="0" applyBorder="1" applyAlignment="1">
      <alignment horizontal="center"/>
    </xf>
    <xf numFmtId="17" fontId="18" fillId="0" borderId="0" xfId="0" applyNumberFormat="1" applyFont="1" applyAlignment="1">
      <alignment horizontal="center"/>
    </xf>
    <xf numFmtId="10" fontId="31" fillId="0" borderId="0" xfId="9" applyNumberFormat="1" applyFont="1"/>
    <xf numFmtId="3" fontId="18" fillId="11" borderId="0" xfId="20" applyNumberFormat="1" applyFont="1" applyFill="1" applyAlignment="1">
      <alignment horizontal="right"/>
    </xf>
    <xf numFmtId="10" fontId="31" fillId="0" borderId="0" xfId="9" applyNumberFormat="1" applyFont="1" applyFill="1" applyBorder="1" applyAlignment="1" applyProtection="1">
      <alignment horizontal="right"/>
    </xf>
    <xf numFmtId="164" fontId="56" fillId="0" borderId="0" xfId="2" applyNumberFormat="1" applyFont="1"/>
    <xf numFmtId="3" fontId="28" fillId="79" borderId="0" xfId="20" applyNumberFormat="1" applyFont="1" applyFill="1" applyAlignment="1">
      <alignment horizontal="right"/>
    </xf>
    <xf numFmtId="0" fontId="31" fillId="79" borderId="0" xfId="20" applyFont="1" applyFill="1"/>
    <xf numFmtId="0" fontId="189" fillId="79" borderId="0" xfId="20" applyFont="1" applyFill="1" applyAlignment="1">
      <alignment horizontal="center"/>
    </xf>
    <xf numFmtId="37" fontId="41" fillId="0" borderId="0" xfId="0" applyNumberFormat="1" applyFont="1"/>
    <xf numFmtId="10" fontId="31" fillId="0" borderId="0" xfId="9" applyNumberFormat="1" applyFont="1" applyFill="1" applyProtection="1"/>
    <xf numFmtId="0" fontId="15" fillId="79" borderId="0" xfId="0" applyFont="1" applyFill="1" applyAlignment="1">
      <alignment wrapText="1"/>
    </xf>
    <xf numFmtId="3" fontId="15" fillId="79" borderId="0" xfId="20" applyNumberFormat="1" applyFill="1" applyAlignment="1">
      <alignment wrapText="1"/>
    </xf>
    <xf numFmtId="3" fontId="15" fillId="79" borderId="4" xfId="0" applyNumberFormat="1" applyFont="1" applyFill="1" applyBorder="1"/>
    <xf numFmtId="0" fontId="0" fillId="79" borderId="4" xfId="0" applyFill="1" applyBorder="1" applyAlignment="1">
      <alignment horizontal="center"/>
    </xf>
    <xf numFmtId="0" fontId="15" fillId="79" borderId="4" xfId="0" applyFont="1" applyFill="1" applyBorder="1" applyAlignment="1">
      <alignment horizontal="center"/>
    </xf>
    <xf numFmtId="0" fontId="15" fillId="79" borderId="0" xfId="0" applyFont="1" applyFill="1"/>
    <xf numFmtId="164" fontId="15" fillId="79" borderId="0" xfId="2" applyNumberFormat="1" applyFont="1" applyFill="1"/>
    <xf numFmtId="164" fontId="0" fillId="79" borderId="0" xfId="2" applyNumberFormat="1" applyFont="1" applyFill="1"/>
    <xf numFmtId="164" fontId="0" fillId="79" borderId="0" xfId="0" applyNumberFormat="1" applyFill="1"/>
    <xf numFmtId="9" fontId="0" fillId="79" borderId="0" xfId="9" applyFont="1" applyFill="1"/>
    <xf numFmtId="9" fontId="0" fillId="79" borderId="0" xfId="0" applyNumberFormat="1" applyFill="1"/>
    <xf numFmtId="10" fontId="0" fillId="79" borderId="0" xfId="0" applyNumberFormat="1" applyFill="1"/>
    <xf numFmtId="3" fontId="0" fillId="79" borderId="0" xfId="0" applyNumberFormat="1" applyFill="1"/>
    <xf numFmtId="164" fontId="0" fillId="79" borderId="4" xfId="2" applyNumberFormat="1" applyFont="1" applyFill="1" applyBorder="1"/>
    <xf numFmtId="164" fontId="0" fillId="79" borderId="4" xfId="0" applyNumberFormat="1" applyFill="1" applyBorder="1"/>
    <xf numFmtId="0" fontId="17" fillId="79" borderId="0" xfId="1065" applyFont="1" applyFill="1" applyAlignment="1">
      <alignment horizontal="center"/>
    </xf>
    <xf numFmtId="3" fontId="18" fillId="79" borderId="4" xfId="0" applyNumberFormat="1" applyFont="1" applyFill="1" applyBorder="1"/>
    <xf numFmtId="3" fontId="0" fillId="79" borderId="4" xfId="0" applyNumberFormat="1" applyFill="1" applyBorder="1"/>
    <xf numFmtId="0" fontId="18" fillId="80" borderId="0" xfId="0" applyFont="1" applyFill="1"/>
    <xf numFmtId="0" fontId="18" fillId="0" borderId="4" xfId="20" applyFont="1" applyBorder="1" applyAlignment="1">
      <alignment horizontal="center"/>
    </xf>
    <xf numFmtId="0" fontId="31" fillId="0" borderId="0" xfId="20" applyFont="1" applyAlignment="1">
      <alignment horizontal="center"/>
    </xf>
    <xf numFmtId="0" fontId="31" fillId="6" borderId="8" xfId="20" applyFont="1" applyFill="1" applyBorder="1" applyAlignment="1">
      <alignment horizontal="center"/>
    </xf>
    <xf numFmtId="0" fontId="31" fillId="6" borderId="24" xfId="20" applyFont="1" applyFill="1" applyBorder="1" applyAlignment="1">
      <alignment horizontal="center"/>
    </xf>
    <xf numFmtId="0" fontId="31" fillId="0" borderId="0" xfId="20" applyFont="1" applyAlignment="1">
      <alignment horizontal="left" wrapText="1"/>
    </xf>
    <xf numFmtId="0" fontId="31" fillId="0" borderId="0" xfId="0" applyFont="1" applyAlignment="1">
      <alignment horizontal="left" wrapText="1"/>
    </xf>
    <xf numFmtId="0" fontId="17" fillId="0" borderId="0" xfId="0" applyFont="1" applyAlignment="1">
      <alignment horizontal="center"/>
    </xf>
    <xf numFmtId="0" fontId="18" fillId="0" borderId="0" xfId="0" applyFont="1" applyAlignment="1">
      <alignment wrapText="1"/>
    </xf>
    <xf numFmtId="0" fontId="22" fillId="0" borderId="0" xfId="0" applyFont="1" applyAlignment="1">
      <alignment horizontal="center"/>
    </xf>
    <xf numFmtId="0" fontId="23" fillId="0" borderId="0" xfId="0" applyFont="1"/>
    <xf numFmtId="0" fontId="22" fillId="0" borderId="0" xfId="20" applyFont="1" applyAlignment="1">
      <alignment horizontal="center"/>
    </xf>
    <xf numFmtId="0" fontId="23" fillId="0" borderId="0" xfId="20" applyFont="1"/>
    <xf numFmtId="0" fontId="17" fillId="0" borderId="0" xfId="0" applyFont="1" applyAlignment="1">
      <alignment horizontal="right"/>
    </xf>
    <xf numFmtId="0" fontId="106" fillId="0" borderId="61" xfId="346" applyFont="1" applyBorder="1" applyAlignment="1">
      <alignment horizontal="center" vertical="center"/>
    </xf>
    <xf numFmtId="0" fontId="106" fillId="0" borderId="3" xfId="346" applyFont="1" applyBorder="1" applyAlignment="1">
      <alignment horizontal="center" vertical="center"/>
    </xf>
    <xf numFmtId="0" fontId="106" fillId="0" borderId="62" xfId="346" applyFont="1" applyBorder="1" applyAlignment="1">
      <alignment horizontal="center" vertical="center"/>
    </xf>
    <xf numFmtId="0" fontId="106" fillId="0" borderId="63" xfId="346" applyFont="1" applyBorder="1" applyAlignment="1">
      <alignment horizontal="center" vertical="center" wrapText="1"/>
    </xf>
    <xf numFmtId="0" fontId="106" fillId="0" borderId="22" xfId="346" applyFont="1" applyBorder="1" applyAlignment="1">
      <alignment horizontal="center" vertical="center" wrapText="1"/>
    </xf>
    <xf numFmtId="0" fontId="106" fillId="0" borderId="57" xfId="346" applyFont="1" applyBorder="1" applyAlignment="1">
      <alignment horizontal="center" vertical="center" wrapText="1"/>
    </xf>
    <xf numFmtId="0" fontId="107" fillId="0" borderId="63" xfId="346" applyFont="1" applyBorder="1" applyAlignment="1">
      <alignment horizontal="center" vertical="center"/>
    </xf>
    <xf numFmtId="0" fontId="107" fillId="0" borderId="22" xfId="346" applyFont="1" applyBorder="1" applyAlignment="1">
      <alignment horizontal="center" vertical="center"/>
    </xf>
    <xf numFmtId="0" fontId="22" fillId="0" borderId="0" xfId="1" applyFont="1" applyAlignment="1">
      <alignment horizontal="center"/>
    </xf>
    <xf numFmtId="0" fontId="22" fillId="0" borderId="0" xfId="1" applyFont="1"/>
    <xf numFmtId="0" fontId="18" fillId="0" borderId="0" xfId="1" applyFont="1" applyAlignment="1">
      <alignment vertical="top" wrapText="1"/>
    </xf>
    <xf numFmtId="0" fontId="18" fillId="0" borderId="0" xfId="1" applyFont="1" applyAlignment="1">
      <alignment vertical="center" wrapText="1"/>
    </xf>
    <xf numFmtId="0" fontId="0" fillId="0" borderId="0" xfId="0"/>
    <xf numFmtId="0" fontId="17" fillId="0" borderId="2" xfId="20" applyFont="1" applyBorder="1" applyAlignment="1">
      <alignment horizontal="center" wrapText="1"/>
    </xf>
    <xf numFmtId="0" fontId="17" fillId="0" borderId="9" xfId="20" applyFont="1" applyBorder="1" applyAlignment="1">
      <alignment horizontal="center" wrapText="1"/>
    </xf>
    <xf numFmtId="0" fontId="18" fillId="0" borderId="0" xfId="20" applyFont="1" applyAlignment="1">
      <alignment horizontal="left" wrapText="1"/>
    </xf>
    <xf numFmtId="0" fontId="18" fillId="0" borderId="15" xfId="20" applyFont="1" applyBorder="1" applyAlignment="1">
      <alignment horizontal="left" wrapText="1"/>
    </xf>
    <xf numFmtId="0" fontId="17" fillId="10" borderId="12" xfId="20" applyFont="1" applyFill="1" applyBorder="1" applyAlignment="1">
      <alignment horizontal="center" wrapText="1"/>
    </xf>
    <xf numFmtId="0" fontId="17" fillId="10" borderId="14" xfId="20" applyFont="1" applyFill="1" applyBorder="1" applyAlignment="1">
      <alignment horizontal="center" wrapText="1"/>
    </xf>
    <xf numFmtId="0" fontId="17" fillId="10" borderId="8" xfId="20" applyFont="1" applyFill="1" applyBorder="1" applyAlignment="1">
      <alignment horizontal="center" wrapText="1"/>
    </xf>
    <xf numFmtId="0" fontId="17" fillId="10" borderId="24" xfId="20" applyFont="1" applyFill="1" applyBorder="1" applyAlignment="1">
      <alignment horizontal="center" wrapText="1"/>
    </xf>
    <xf numFmtId="0" fontId="17" fillId="0" borderId="0" xfId="20" applyFont="1" applyAlignment="1">
      <alignment horizontal="center" wrapText="1"/>
    </xf>
    <xf numFmtId="0" fontId="17" fillId="0" borderId="15" xfId="20" applyFont="1" applyBorder="1" applyAlignment="1">
      <alignment horizontal="center" wrapText="1"/>
    </xf>
    <xf numFmtId="37" fontId="17" fillId="11" borderId="3" xfId="20" applyNumberFormat="1" applyFont="1" applyFill="1" applyBorder="1" applyAlignment="1">
      <alignment horizontal="center"/>
    </xf>
    <xf numFmtId="37" fontId="17" fillId="11" borderId="77" xfId="20" applyNumberFormat="1" applyFont="1" applyFill="1" applyBorder="1" applyAlignment="1">
      <alignment horizontal="center"/>
    </xf>
    <xf numFmtId="37" fontId="17" fillId="0" borderId="0" xfId="20" applyNumberFormat="1" applyFont="1" applyAlignment="1">
      <alignment horizontal="center"/>
    </xf>
    <xf numFmtId="37" fontId="17" fillId="11" borderId="58" xfId="20" applyNumberFormat="1" applyFont="1" applyFill="1" applyBorder="1" applyAlignment="1">
      <alignment horizontal="center"/>
    </xf>
    <xf numFmtId="37" fontId="17" fillId="11" borderId="10" xfId="20" applyNumberFormat="1" applyFont="1" applyFill="1" applyBorder="1" applyAlignment="1">
      <alignment horizontal="center"/>
    </xf>
    <xf numFmtId="37" fontId="17" fillId="11" borderId="67" xfId="20" applyNumberFormat="1" applyFont="1" applyFill="1" applyBorder="1" applyAlignment="1">
      <alignment horizontal="center"/>
    </xf>
    <xf numFmtId="37" fontId="17" fillId="0" borderId="12" xfId="20" applyNumberFormat="1" applyFont="1" applyBorder="1" applyAlignment="1">
      <alignment horizontal="center"/>
    </xf>
    <xf numFmtId="37" fontId="17" fillId="0" borderId="14" xfId="20" applyNumberFormat="1" applyFont="1" applyBorder="1" applyAlignment="1">
      <alignment horizontal="center"/>
    </xf>
    <xf numFmtId="0" fontId="18" fillId="80" borderId="75" xfId="0" applyFont="1" applyFill="1" applyBorder="1" applyAlignment="1">
      <alignment horizontal="center"/>
    </xf>
    <xf numFmtId="0" fontId="15" fillId="0" borderId="0" xfId="0" applyFont="1" applyAlignment="1">
      <alignment horizontal="center"/>
    </xf>
    <xf numFmtId="10" fontId="15" fillId="0" borderId="0" xfId="9" applyNumberFormat="1" applyFont="1" applyAlignment="1">
      <alignment horizontal="center"/>
    </xf>
    <xf numFmtId="2" fontId="25" fillId="0" borderId="0" xfId="0" applyNumberFormat="1" applyFont="1" applyAlignment="1">
      <alignment horizontal="left" wrapText="1"/>
    </xf>
    <xf numFmtId="0" fontId="25" fillId="0" borderId="0" xfId="0" applyFont="1" applyAlignment="1">
      <alignment horizontal="left"/>
    </xf>
    <xf numFmtId="0" fontId="18" fillId="0" borderId="0" xfId="0" applyFont="1" applyAlignment="1">
      <alignment horizontal="left" wrapText="1"/>
    </xf>
    <xf numFmtId="0" fontId="16" fillId="0" borderId="0" xfId="0" applyFont="1" applyAlignment="1">
      <alignment horizontal="center" wrapText="1"/>
    </xf>
    <xf numFmtId="15" fontId="17" fillId="0" borderId="0" xfId="0" applyNumberFormat="1" applyFont="1" applyAlignment="1">
      <alignment horizontal="center"/>
    </xf>
    <xf numFmtId="0" fontId="18" fillId="0" borderId="0" xfId="0" applyFont="1" applyAlignment="1">
      <alignment horizontal="left" vertical="top" wrapText="1"/>
    </xf>
    <xf numFmtId="0" fontId="22" fillId="0" borderId="0" xfId="743" applyNumberFormat="1" applyFont="1" applyAlignment="1" applyProtection="1">
      <alignment horizontal="center"/>
      <protection locked="0"/>
    </xf>
    <xf numFmtId="10" fontId="22" fillId="0" borderId="0" xfId="9" applyNumberFormat="1" applyFont="1" applyAlignment="1">
      <alignment horizontal="center"/>
    </xf>
    <xf numFmtId="49" fontId="17" fillId="0" borderId="0" xfId="0" applyNumberFormat="1" applyFont="1" applyAlignment="1">
      <alignment horizontal="center"/>
    </xf>
  </cellXfs>
  <cellStyles count="10337">
    <cellStyle name="_x0013_" xfId="24" xr:uid="{00000000-0005-0000-0000-000000000000}"/>
    <cellStyle name="_x0013_ 2" xfId="44" xr:uid="{00000000-0005-0000-0000-000001000000}"/>
    <cellStyle name="_x0013_ 2 2" xfId="45" xr:uid="{00000000-0005-0000-0000-000002000000}"/>
    <cellStyle name="_x0013_ 3" xfId="46" xr:uid="{00000000-0005-0000-0000-000003000000}"/>
    <cellStyle name="_x0013_ 4" xfId="47" xr:uid="{00000000-0005-0000-0000-000004000000}"/>
    <cellStyle name="_x0013__2012-ETn-CS-MDS-16-Northeast Grid-PEEM CWIP in RB 10-7-2011 CRC" xfId="48" xr:uid="{00000000-0005-0000-0000-000005000000}"/>
    <cellStyle name="_x0013__2013 ED Capital Projects By Month" xfId="49" xr:uid="{00000000-0005-0000-0000-000006000000}"/>
    <cellStyle name="_x0013__Input" xfId="50" xr:uid="{00000000-0005-0000-0000-000007000000}"/>
    <cellStyle name="_x0013__TPIS Report_April_2013" xfId="51" xr:uid="{00000000-0005-0000-0000-000008000000}"/>
    <cellStyle name="_x0013__TPIS Report_February_2013Ver2" xfId="52" xr:uid="{00000000-0005-0000-0000-000009000000}"/>
    <cellStyle name="_x0013__TPIS Report_May_2013-v2 (2)" xfId="53" xr:uid="{00000000-0005-0000-0000-00000A000000}"/>
    <cellStyle name="_x0013__TPIS TLC_Gloria File" xfId="54" xr:uid="{00000000-0005-0000-0000-00000B000000}"/>
    <cellStyle name="_x0013__TPIS TLC_Gloria File rev2" xfId="55" xr:uid="{00000000-0005-0000-0000-00000C000000}"/>
    <cellStyle name="_x0013__TPIS TLC_Gloria File rev2 (3)" xfId="56" xr:uid="{00000000-0005-0000-0000-00000D000000}"/>
    <cellStyle name="¢ Currency [1]" xfId="568" xr:uid="{BE5E6959-063E-41ED-BAA5-C2DE3A68346D}"/>
    <cellStyle name="¢ Currency [2]" xfId="569" xr:uid="{0B2464BE-E8D7-465C-BD6A-A3E90F83C045}"/>
    <cellStyle name="¢ Currency [3]" xfId="570" xr:uid="{CFDBF940-5744-408A-9E75-E0EEE56B6F08}"/>
    <cellStyle name="£ Currency [0]" xfId="571" xr:uid="{AE838E18-ADD9-4D0E-884A-FACCCF98E1F3}"/>
    <cellStyle name="£ Currency [1]" xfId="572" xr:uid="{4891BD7A-8FEE-4C3D-92D9-C6998146713E}"/>
    <cellStyle name="£ Currency [2]" xfId="573" xr:uid="{F5C14384-5B24-4CB3-9F28-039A4475CC98}"/>
    <cellStyle name="=C:\WINNT35\SYSTEM32\COMMAND.COM" xfId="567" xr:uid="{7110CD00-BBD9-4055-BA1C-68D6D6F22BDA}"/>
    <cellStyle name="20% - Accent1 2" xfId="57" xr:uid="{00000000-0005-0000-0000-00000E000000}"/>
    <cellStyle name="20% - Accent1 2 2" xfId="58" xr:uid="{00000000-0005-0000-0000-00000F000000}"/>
    <cellStyle name="20% - Accent1 2 2 2" xfId="59" xr:uid="{00000000-0005-0000-0000-000010000000}"/>
    <cellStyle name="20% - Accent1 2 2 2 2" xfId="445" xr:uid="{00000000-0005-0000-0000-000011000000}"/>
    <cellStyle name="20% - Accent1 2 2 3" xfId="60" xr:uid="{00000000-0005-0000-0000-000012000000}"/>
    <cellStyle name="20% - Accent1 2 2 4" xfId="61" xr:uid="{00000000-0005-0000-0000-000013000000}"/>
    <cellStyle name="20% - Accent1 2 3" xfId="62" xr:uid="{00000000-0005-0000-0000-000014000000}"/>
    <cellStyle name="20% - Accent1 2 3 2" xfId="446" xr:uid="{00000000-0005-0000-0000-000015000000}"/>
    <cellStyle name="20% - Accent1 2 4" xfId="63" xr:uid="{00000000-0005-0000-0000-000016000000}"/>
    <cellStyle name="20% - Accent1 2 5" xfId="64" xr:uid="{00000000-0005-0000-0000-000017000000}"/>
    <cellStyle name="20% - Accent1 2 6" xfId="1066" xr:uid="{211D45F2-B13B-4AE6-9C2C-8121F1E2CD37}"/>
    <cellStyle name="20% - Accent1 3" xfId="1560" xr:uid="{C98D20EE-2B7B-4999-AB1A-D73D9520D688}"/>
    <cellStyle name="20% - Accent1 4" xfId="1561" xr:uid="{35355049-CD31-467B-8741-4E5CE5EECB43}"/>
    <cellStyle name="20% - Accent1 5" xfId="1562" xr:uid="{4DFF68A6-0F61-4115-A54D-B4A82D9452D8}"/>
    <cellStyle name="20% - Accent1 5 2" xfId="1563" xr:uid="{36BA6B5E-FFEE-4882-BCB9-9CB8C4FF91C3}"/>
    <cellStyle name="20% - Accent1 5 2 2" xfId="1564" xr:uid="{5C0ACE6A-3852-4762-A5D9-0A1BAF02A1A9}"/>
    <cellStyle name="20% - Accent1 5 2 3" xfId="1565" xr:uid="{EF73FA98-77BF-4CA7-8C7E-085CABFD1243}"/>
    <cellStyle name="20% - Accent1 5 3" xfId="1566" xr:uid="{27B24F52-F98A-49A0-9FA4-FB825EDCAD84}"/>
    <cellStyle name="20% - Accent1 5 4" xfId="1567" xr:uid="{39C59FE0-00FE-4310-AE94-3EAC82006CC9}"/>
    <cellStyle name="20% - Accent1 5 5" xfId="1568" xr:uid="{34E71607-0CA9-4CC9-A8C3-E85699CFAFE4}"/>
    <cellStyle name="20% - Accent1 6" xfId="1569" xr:uid="{1E0F9C56-86D5-4BC3-845F-0FC03894D9FA}"/>
    <cellStyle name="20% - Accent1 7" xfId="1570" xr:uid="{C244EF26-B773-4183-A94E-7A4CF123644B}"/>
    <cellStyle name="20% - Accent1 8" xfId="1571" xr:uid="{250BF696-B5DB-481B-8B5D-3E02D4FE64EB}"/>
    <cellStyle name="20% - Accent1 9" xfId="1572" xr:uid="{74BAE60A-926B-4658-8A31-32C695C13AB5}"/>
    <cellStyle name="20% - Accent2 2" xfId="65" xr:uid="{00000000-0005-0000-0000-000018000000}"/>
    <cellStyle name="20% - Accent2 2 2" xfId="66" xr:uid="{00000000-0005-0000-0000-000019000000}"/>
    <cellStyle name="20% - Accent2 2 2 2" xfId="67" xr:uid="{00000000-0005-0000-0000-00001A000000}"/>
    <cellStyle name="20% - Accent2 2 2 2 2" xfId="447" xr:uid="{00000000-0005-0000-0000-00001B000000}"/>
    <cellStyle name="20% - Accent2 2 2 3" xfId="68" xr:uid="{00000000-0005-0000-0000-00001C000000}"/>
    <cellStyle name="20% - Accent2 2 2 4" xfId="69" xr:uid="{00000000-0005-0000-0000-00001D000000}"/>
    <cellStyle name="20% - Accent2 2 3" xfId="70" xr:uid="{00000000-0005-0000-0000-00001E000000}"/>
    <cellStyle name="20% - Accent2 2 3 2" xfId="448" xr:uid="{00000000-0005-0000-0000-00001F000000}"/>
    <cellStyle name="20% - Accent2 2 4" xfId="71" xr:uid="{00000000-0005-0000-0000-000020000000}"/>
    <cellStyle name="20% - Accent2 2 5" xfId="72" xr:uid="{00000000-0005-0000-0000-000021000000}"/>
    <cellStyle name="20% - Accent2 2 6" xfId="1067" xr:uid="{C7FFAE37-4EBE-43DF-818D-586C5CA7EC9C}"/>
    <cellStyle name="20% - Accent2 3" xfId="1573" xr:uid="{7B03E666-4774-4998-9111-8B3D8F1AAD9B}"/>
    <cellStyle name="20% - Accent2 4" xfId="1574" xr:uid="{E35E254C-E484-4EC9-A938-5385E4BBE62C}"/>
    <cellStyle name="20% - Accent2 5" xfId="1575" xr:uid="{6BB39C3E-2E75-434D-B57B-BB9A6E2729C2}"/>
    <cellStyle name="20% - Accent2 5 2" xfId="1576" xr:uid="{6709BB61-DDF8-4C94-BEDA-85475FD4AD18}"/>
    <cellStyle name="20% - Accent2 5 2 2" xfId="1577" xr:uid="{7D7AE2CD-97A7-44A0-AB5D-401C446F1B06}"/>
    <cellStyle name="20% - Accent2 5 2 3" xfId="1578" xr:uid="{62C539E7-3B81-4CEC-8CD8-5ECE8EA5A53D}"/>
    <cellStyle name="20% - Accent2 5 3" xfId="1579" xr:uid="{A8008D74-CBC4-4146-A10D-B7C530247A68}"/>
    <cellStyle name="20% - Accent2 5 4" xfId="1580" xr:uid="{41B765BC-EB3D-47FA-BC57-0A4B117FCA45}"/>
    <cellStyle name="20% - Accent2 5 5" xfId="1581" xr:uid="{C1B5C7B7-49B4-4725-A6E3-7568452030E8}"/>
    <cellStyle name="20% - Accent2 6" xfId="1582" xr:uid="{B02D7F96-28C5-46C9-83D4-8619B45A8FF5}"/>
    <cellStyle name="20% - Accent2 7" xfId="1583" xr:uid="{5E4B31A1-D16E-4329-BB96-F30F31A95149}"/>
    <cellStyle name="20% - Accent2 8" xfId="1584" xr:uid="{E9817972-0EDD-4C16-AEF5-7AFA91DBC9A6}"/>
    <cellStyle name="20% - Accent2 9" xfId="1585" xr:uid="{D6B10350-9FA5-4331-99E3-89E399ABE9B4}"/>
    <cellStyle name="20% - Accent3 2" xfId="73" xr:uid="{00000000-0005-0000-0000-000022000000}"/>
    <cellStyle name="20% - Accent3 2 2" xfId="74" xr:uid="{00000000-0005-0000-0000-000023000000}"/>
    <cellStyle name="20% - Accent3 2 2 2" xfId="75" xr:uid="{00000000-0005-0000-0000-000024000000}"/>
    <cellStyle name="20% - Accent3 2 2 2 2" xfId="449" xr:uid="{00000000-0005-0000-0000-000025000000}"/>
    <cellStyle name="20% - Accent3 2 2 3" xfId="76" xr:uid="{00000000-0005-0000-0000-000026000000}"/>
    <cellStyle name="20% - Accent3 2 2 4" xfId="77" xr:uid="{00000000-0005-0000-0000-000027000000}"/>
    <cellStyle name="20% - Accent3 2 3" xfId="78" xr:uid="{00000000-0005-0000-0000-000028000000}"/>
    <cellStyle name="20% - Accent3 2 3 2" xfId="450" xr:uid="{00000000-0005-0000-0000-000029000000}"/>
    <cellStyle name="20% - Accent3 2 4" xfId="79" xr:uid="{00000000-0005-0000-0000-00002A000000}"/>
    <cellStyle name="20% - Accent3 2 5" xfId="80" xr:uid="{00000000-0005-0000-0000-00002B000000}"/>
    <cellStyle name="20% - Accent3 2 6" xfId="1068" xr:uid="{96204BEE-CBC4-4D92-BE00-EE7EE39935F0}"/>
    <cellStyle name="20% - Accent3 3" xfId="1586" xr:uid="{6916403F-B926-41C8-8ADB-CD6496E37F91}"/>
    <cellStyle name="20% - Accent3 4" xfId="1587" xr:uid="{B4D2C96E-E4D0-46D9-8B76-8BECA2B3866D}"/>
    <cellStyle name="20% - Accent3 5" xfId="1588" xr:uid="{496B5F4E-B853-4375-870C-5BF62FA545AF}"/>
    <cellStyle name="20% - Accent3 5 2" xfId="1589" xr:uid="{3E92BEBA-3154-41A4-823B-BCCA60ACE5A4}"/>
    <cellStyle name="20% - Accent3 5 2 2" xfId="1590" xr:uid="{9565C4B2-2269-4024-9A7D-7898D93A9FE7}"/>
    <cellStyle name="20% - Accent3 5 2 3" xfId="1591" xr:uid="{4B9C64FC-EC94-439C-B29C-4638ACC7E6B8}"/>
    <cellStyle name="20% - Accent3 5 3" xfId="1592" xr:uid="{910AD092-1806-427B-B390-F91592ED1250}"/>
    <cellStyle name="20% - Accent3 5 4" xfId="1593" xr:uid="{179295F0-32EC-4534-A487-B8EBEA134560}"/>
    <cellStyle name="20% - Accent3 5 5" xfId="1594" xr:uid="{570BD345-83BA-4913-AA81-75FE97BBE79D}"/>
    <cellStyle name="20% - Accent3 6" xfId="1595" xr:uid="{6A94B84B-E9E6-4325-B9E2-93C7AE9BD454}"/>
    <cellStyle name="20% - Accent3 7" xfId="1596" xr:uid="{D135E9AE-5155-4FA3-A23F-6545856CF4BB}"/>
    <cellStyle name="20% - Accent3 8" xfId="1597" xr:uid="{AC9EBB46-4459-4FC7-B1DF-B29BFFD6DFF4}"/>
    <cellStyle name="20% - Accent3 9" xfId="1598" xr:uid="{54B8B11C-14C9-4BBE-9FFC-9FB987867006}"/>
    <cellStyle name="20% - Accent4 2" xfId="81" xr:uid="{00000000-0005-0000-0000-00002C000000}"/>
    <cellStyle name="20% - Accent4 2 2" xfId="82" xr:uid="{00000000-0005-0000-0000-00002D000000}"/>
    <cellStyle name="20% - Accent4 2 2 2" xfId="83" xr:uid="{00000000-0005-0000-0000-00002E000000}"/>
    <cellStyle name="20% - Accent4 2 2 2 2" xfId="451" xr:uid="{00000000-0005-0000-0000-00002F000000}"/>
    <cellStyle name="20% - Accent4 2 2 3" xfId="84" xr:uid="{00000000-0005-0000-0000-000030000000}"/>
    <cellStyle name="20% - Accent4 2 2 4" xfId="85" xr:uid="{00000000-0005-0000-0000-000031000000}"/>
    <cellStyle name="20% - Accent4 2 3" xfId="86" xr:uid="{00000000-0005-0000-0000-000032000000}"/>
    <cellStyle name="20% - Accent4 2 3 2" xfId="452" xr:uid="{00000000-0005-0000-0000-000033000000}"/>
    <cellStyle name="20% - Accent4 2 4" xfId="87" xr:uid="{00000000-0005-0000-0000-000034000000}"/>
    <cellStyle name="20% - Accent4 2 5" xfId="88" xr:uid="{00000000-0005-0000-0000-000035000000}"/>
    <cellStyle name="20% - Accent4 2 6" xfId="1069" xr:uid="{2D7A76C4-4917-448F-85DB-E8592C8157B4}"/>
    <cellStyle name="20% - Accent4 3" xfId="1599" xr:uid="{C4295279-666C-4CA2-BD76-30C66C26970B}"/>
    <cellStyle name="20% - Accent4 4" xfId="1600" xr:uid="{C4372D21-FBA5-44B3-BA84-360B38EAB075}"/>
    <cellStyle name="20% - Accent4 5" xfId="1601" xr:uid="{B060606A-40D0-4D03-9223-8F929B8A0171}"/>
    <cellStyle name="20% - Accent4 5 2" xfId="1602" xr:uid="{7F55C69C-3197-4178-9ACD-D5C200AAC031}"/>
    <cellStyle name="20% - Accent4 5 2 2" xfId="1603" xr:uid="{64AC34B4-055D-455F-B75C-AE0E681347AF}"/>
    <cellStyle name="20% - Accent4 5 2 3" xfId="1604" xr:uid="{DD7C86E3-6866-4522-9D62-3D861BC5C468}"/>
    <cellStyle name="20% - Accent4 5 3" xfId="1605" xr:uid="{7092FF6C-BA31-4D61-85FF-7B9DC27D221C}"/>
    <cellStyle name="20% - Accent4 5 4" xfId="1606" xr:uid="{090E8CA5-C0F0-4A4C-BCB0-DFEF6464FCD7}"/>
    <cellStyle name="20% - Accent4 5 5" xfId="1607" xr:uid="{4846EF82-FA9B-4FFC-9559-FFE19F612663}"/>
    <cellStyle name="20% - Accent4 6" xfId="1608" xr:uid="{D36F9D26-4148-4C4C-B873-40BC62504292}"/>
    <cellStyle name="20% - Accent4 7" xfId="1609" xr:uid="{0EC2B2B2-EE76-49E6-A8EC-CCD66DD9B05B}"/>
    <cellStyle name="20% - Accent4 8" xfId="1610" xr:uid="{813F2358-A2B4-4119-86AE-38DCC380E915}"/>
    <cellStyle name="20% - Accent4 9" xfId="1611" xr:uid="{593C9D4B-8450-4CE6-8086-605727D9EEB9}"/>
    <cellStyle name="20% - Accent5 2" xfId="89" xr:uid="{00000000-0005-0000-0000-000036000000}"/>
    <cellStyle name="20% - Accent5 2 2" xfId="90" xr:uid="{00000000-0005-0000-0000-000037000000}"/>
    <cellStyle name="20% - Accent5 2 2 2" xfId="91" xr:uid="{00000000-0005-0000-0000-000038000000}"/>
    <cellStyle name="20% - Accent5 2 2 2 2" xfId="453" xr:uid="{00000000-0005-0000-0000-000039000000}"/>
    <cellStyle name="20% - Accent5 2 2 3" xfId="92" xr:uid="{00000000-0005-0000-0000-00003A000000}"/>
    <cellStyle name="20% - Accent5 2 2 4" xfId="93" xr:uid="{00000000-0005-0000-0000-00003B000000}"/>
    <cellStyle name="20% - Accent5 2 3" xfId="94" xr:uid="{00000000-0005-0000-0000-00003C000000}"/>
    <cellStyle name="20% - Accent5 2 3 2" xfId="454" xr:uid="{00000000-0005-0000-0000-00003D000000}"/>
    <cellStyle name="20% - Accent5 2 4" xfId="95" xr:uid="{00000000-0005-0000-0000-00003E000000}"/>
    <cellStyle name="20% - Accent5 2 5" xfId="96" xr:uid="{00000000-0005-0000-0000-00003F000000}"/>
    <cellStyle name="20% - Accent5 2 6" xfId="1070" xr:uid="{1609F020-C295-4243-AB90-99D32170BAD0}"/>
    <cellStyle name="20% - Accent5 3" xfId="1612" xr:uid="{3AE79D7B-6313-491B-9457-291EA6CE000F}"/>
    <cellStyle name="20% - Accent5 4" xfId="1613" xr:uid="{7319A441-744F-49D6-A072-7100B8AE92E5}"/>
    <cellStyle name="20% - Accent5 5" xfId="1614" xr:uid="{C11FA5AB-60B7-4AEE-BFCF-0A732F55BF78}"/>
    <cellStyle name="20% - Accent5 5 2" xfId="1615" xr:uid="{A245FE44-CD28-4C98-9263-7220223436E8}"/>
    <cellStyle name="20% - Accent5 5 2 2" xfId="1616" xr:uid="{EC8B4143-FF38-4661-8696-E20493FEFC71}"/>
    <cellStyle name="20% - Accent5 5 2 3" xfId="1617" xr:uid="{BDC1A3B9-B993-4FCC-8523-AB9ECBCB9A87}"/>
    <cellStyle name="20% - Accent5 5 3" xfId="1618" xr:uid="{5B5EE851-61FE-4949-B2D6-83118A99A832}"/>
    <cellStyle name="20% - Accent5 5 4" xfId="1619" xr:uid="{F8FA106E-2ACD-4AF2-9B0A-81DAEDC6D1D7}"/>
    <cellStyle name="20% - Accent5 5 5" xfId="1620" xr:uid="{D670B4FF-7F51-40AB-80B3-3B059EB7491C}"/>
    <cellStyle name="20% - Accent5 6" xfId="1621" xr:uid="{4D89A4AA-A740-4166-A29A-5E9ACB7E4748}"/>
    <cellStyle name="20% - Accent5 7" xfId="1622" xr:uid="{B142DAC1-B456-4C58-A2E2-7D0A90A9A055}"/>
    <cellStyle name="20% - Accent5 8" xfId="1623" xr:uid="{FAF9FF14-B7C4-4D45-BB2F-8D1F8C6D646D}"/>
    <cellStyle name="20% - Accent5 9" xfId="1624" xr:uid="{DA670571-9528-41B4-A66A-135B656CE065}"/>
    <cellStyle name="20% - Accent6 2" xfId="97" xr:uid="{00000000-0005-0000-0000-000040000000}"/>
    <cellStyle name="20% - Accent6 2 2" xfId="98" xr:uid="{00000000-0005-0000-0000-000041000000}"/>
    <cellStyle name="20% - Accent6 2 2 2" xfId="99" xr:uid="{00000000-0005-0000-0000-000042000000}"/>
    <cellStyle name="20% - Accent6 2 2 2 2" xfId="456" xr:uid="{00000000-0005-0000-0000-000043000000}"/>
    <cellStyle name="20% - Accent6 2 2 3" xfId="455" xr:uid="{00000000-0005-0000-0000-000044000000}"/>
    <cellStyle name="20% - Accent6 2 2 4" xfId="1625" xr:uid="{CC25C0D9-EB19-4FCF-A708-E4721846D755}"/>
    <cellStyle name="20% - Accent6 2 3" xfId="100" xr:uid="{00000000-0005-0000-0000-000045000000}"/>
    <cellStyle name="20% - Accent6 2 3 2" xfId="457" xr:uid="{00000000-0005-0000-0000-000046000000}"/>
    <cellStyle name="20% - Accent6 2 4" xfId="101" xr:uid="{00000000-0005-0000-0000-000047000000}"/>
    <cellStyle name="20% - Accent6 2 5" xfId="1071" xr:uid="{298ACFD9-DF04-487A-A507-858EDAEBFD9F}"/>
    <cellStyle name="20% - Accent6 3" xfId="1626" xr:uid="{3C175C0D-51DE-4C7C-B585-6D18F62109E3}"/>
    <cellStyle name="20% - Accent6 4" xfId="1627" xr:uid="{537EDD61-1C29-4F44-A747-A310E9936E7F}"/>
    <cellStyle name="20% - Accent6 5" xfId="1628" xr:uid="{FB86D948-3F6D-4D7E-8910-EC20873DC256}"/>
    <cellStyle name="20% - Accent6 5 2" xfId="1629" xr:uid="{655B230D-33CF-4917-9964-0CD7898D13FD}"/>
    <cellStyle name="20% - Accent6 5 2 2" xfId="1630" xr:uid="{6E599A87-1C33-4F38-87B3-667DA0C92217}"/>
    <cellStyle name="20% - Accent6 5 2 3" xfId="1631" xr:uid="{CD19D201-B0EF-4B4E-832D-F16BFB9A4F43}"/>
    <cellStyle name="20% - Accent6 5 3" xfId="1632" xr:uid="{18FB695F-6BFF-4598-A4E5-53B829BBEA3E}"/>
    <cellStyle name="20% - Accent6 5 4" xfId="1633" xr:uid="{BEC6B1EF-259E-4F87-84E4-638801B527D0}"/>
    <cellStyle name="20% - Accent6 5 5" xfId="1634" xr:uid="{12C0BF28-15CC-4B90-BC94-065F3E9F4F74}"/>
    <cellStyle name="20% - Accent6 6" xfId="1635" xr:uid="{13347496-2C17-454E-9ED3-B119202CBD1B}"/>
    <cellStyle name="20% - Accent6 7" xfId="1636" xr:uid="{5CD4D32E-EED2-4D98-A268-9A62350C4252}"/>
    <cellStyle name="20% - Accent6 8" xfId="1637" xr:uid="{DBA88403-456B-4146-A591-345B252BE84E}"/>
    <cellStyle name="20% - Accent6 9" xfId="1638" xr:uid="{8AE69935-E378-416A-934A-3451C7F3A956}"/>
    <cellStyle name="40% - Accent1 2" xfId="102" xr:uid="{00000000-0005-0000-0000-000048000000}"/>
    <cellStyle name="40% - Accent1 2 2" xfId="103" xr:uid="{00000000-0005-0000-0000-000049000000}"/>
    <cellStyle name="40% - Accent1 2 2 2" xfId="104" xr:uid="{00000000-0005-0000-0000-00004A000000}"/>
    <cellStyle name="40% - Accent1 2 2 2 2" xfId="458" xr:uid="{00000000-0005-0000-0000-00004B000000}"/>
    <cellStyle name="40% - Accent1 2 2 3" xfId="105" xr:uid="{00000000-0005-0000-0000-00004C000000}"/>
    <cellStyle name="40% - Accent1 2 2 4" xfId="106" xr:uid="{00000000-0005-0000-0000-00004D000000}"/>
    <cellStyle name="40% - Accent1 2 3" xfId="107" xr:uid="{00000000-0005-0000-0000-00004E000000}"/>
    <cellStyle name="40% - Accent1 2 3 2" xfId="459" xr:uid="{00000000-0005-0000-0000-00004F000000}"/>
    <cellStyle name="40% - Accent1 2 4" xfId="108" xr:uid="{00000000-0005-0000-0000-000050000000}"/>
    <cellStyle name="40% - Accent1 2 5" xfId="109" xr:uid="{00000000-0005-0000-0000-000051000000}"/>
    <cellStyle name="40% - Accent1 2 6" xfId="1072" xr:uid="{7BBFF1BB-BFE0-4AEB-B7D8-E536FDE279BE}"/>
    <cellStyle name="40% - Accent1 3" xfId="1639" xr:uid="{69FA0732-9086-4D9A-A0A6-7BCC465F81F9}"/>
    <cellStyle name="40% - Accent1 4" xfId="1640" xr:uid="{BAFCD9E7-5709-45E5-91A7-63EEB70CD921}"/>
    <cellStyle name="40% - Accent1 5" xfId="1641" xr:uid="{77408AA8-1846-4144-ADBA-EA1C8400E58B}"/>
    <cellStyle name="40% - Accent1 5 2" xfId="1642" xr:uid="{AF2EA7F0-2527-4BEA-94AC-04531DDF715D}"/>
    <cellStyle name="40% - Accent1 5 2 2" xfId="1643" xr:uid="{2A6AA188-4F9F-48BD-A136-A133CC126AE4}"/>
    <cellStyle name="40% - Accent1 5 2 3" xfId="1644" xr:uid="{AC01FF41-9244-4285-942A-D879BB3930DF}"/>
    <cellStyle name="40% - Accent1 5 3" xfId="1645" xr:uid="{5B5A353B-7658-4F27-B60C-D1E48650698F}"/>
    <cellStyle name="40% - Accent1 5 4" xfId="1646" xr:uid="{D1709C09-8392-4135-990F-498AC9493ACF}"/>
    <cellStyle name="40% - Accent1 5 5" xfId="1647" xr:uid="{678011FE-4456-45BD-8F5B-FE92205276DB}"/>
    <cellStyle name="40% - Accent1 6" xfId="1648" xr:uid="{71585E35-BDE3-4FD8-9A60-8F941B6AAD29}"/>
    <cellStyle name="40% - Accent1 7" xfId="1649" xr:uid="{FB178E0C-A8AB-4E8D-9ACB-88B67518504F}"/>
    <cellStyle name="40% - Accent1 8" xfId="1650" xr:uid="{9E10447D-9FE5-49DF-BBF4-BED198D95B7A}"/>
    <cellStyle name="40% - Accent1 9" xfId="1651" xr:uid="{FC60372B-C466-4C96-98B2-3368FFEEF0DA}"/>
    <cellStyle name="40% - Accent2 2" xfId="110" xr:uid="{00000000-0005-0000-0000-000052000000}"/>
    <cellStyle name="40% - Accent2 2 2" xfId="111" xr:uid="{00000000-0005-0000-0000-000053000000}"/>
    <cellStyle name="40% - Accent2 2 2 2" xfId="112" xr:uid="{00000000-0005-0000-0000-000054000000}"/>
    <cellStyle name="40% - Accent2 2 2 2 2" xfId="461" xr:uid="{00000000-0005-0000-0000-000055000000}"/>
    <cellStyle name="40% - Accent2 2 2 3" xfId="460" xr:uid="{00000000-0005-0000-0000-000056000000}"/>
    <cellStyle name="40% - Accent2 2 2 4" xfId="1652" xr:uid="{BEF02297-4E11-4D1D-84EF-028D3B8D0E53}"/>
    <cellStyle name="40% - Accent2 2 3" xfId="113" xr:uid="{00000000-0005-0000-0000-000057000000}"/>
    <cellStyle name="40% - Accent2 2 3 2" xfId="462" xr:uid="{00000000-0005-0000-0000-000058000000}"/>
    <cellStyle name="40% - Accent2 2 4" xfId="114" xr:uid="{00000000-0005-0000-0000-000059000000}"/>
    <cellStyle name="40% - Accent2 2 5" xfId="1073" xr:uid="{B03F780F-217B-4705-B1A3-640C1BE239CA}"/>
    <cellStyle name="40% - Accent2 3" xfId="1653" xr:uid="{85714A46-6A97-4767-B0BC-7F4CE16DE8E0}"/>
    <cellStyle name="40% - Accent2 4" xfId="1654" xr:uid="{5AD62352-382C-40CF-9837-1D0931E9DEEA}"/>
    <cellStyle name="40% - Accent2 5" xfId="1655" xr:uid="{4828C885-A728-42F2-B6CF-80EDE1EF6A0A}"/>
    <cellStyle name="40% - Accent2 5 2" xfId="1656" xr:uid="{EFA89AE8-6ABA-4B78-B779-35A41F6C9521}"/>
    <cellStyle name="40% - Accent2 5 2 2" xfId="1657" xr:uid="{F2D6F15A-B51E-4A83-A5F1-953D465D3A51}"/>
    <cellStyle name="40% - Accent2 5 2 3" xfId="1658" xr:uid="{03EA9290-B8CF-42E9-B806-01E344A6F7DF}"/>
    <cellStyle name="40% - Accent2 5 3" xfId="1659" xr:uid="{CDFC0FFA-11C5-4015-923A-05F2A556F5EB}"/>
    <cellStyle name="40% - Accent2 5 4" xfId="1660" xr:uid="{2D83C5AB-A1DE-451E-B823-3B05F425BB53}"/>
    <cellStyle name="40% - Accent2 5 5" xfId="1661" xr:uid="{9C29AAA2-4F1C-4DF3-8B4D-1904E3A7FC1E}"/>
    <cellStyle name="40% - Accent2 6" xfId="1662" xr:uid="{EFB6B460-2E5D-46B1-B4F8-59E36C27BF66}"/>
    <cellStyle name="40% - Accent2 7" xfId="1663" xr:uid="{F15AEFC2-A27B-42FC-9533-A5E3FA7FC84E}"/>
    <cellStyle name="40% - Accent2 8" xfId="1664" xr:uid="{F283F7CA-8FB3-48F3-BAFB-712381C2FA8E}"/>
    <cellStyle name="40% - Accent2 9" xfId="1665" xr:uid="{7562E545-F8F5-4DA6-B799-A1C6BE232CB3}"/>
    <cellStyle name="40% - Accent3 2" xfId="115" xr:uid="{00000000-0005-0000-0000-00005A000000}"/>
    <cellStyle name="40% - Accent3 2 2" xfId="116" xr:uid="{00000000-0005-0000-0000-00005B000000}"/>
    <cellStyle name="40% - Accent3 2 2 2" xfId="117" xr:uid="{00000000-0005-0000-0000-00005C000000}"/>
    <cellStyle name="40% - Accent3 2 2 2 2" xfId="463" xr:uid="{00000000-0005-0000-0000-00005D000000}"/>
    <cellStyle name="40% - Accent3 2 2 3" xfId="118" xr:uid="{00000000-0005-0000-0000-00005E000000}"/>
    <cellStyle name="40% - Accent3 2 2 4" xfId="119" xr:uid="{00000000-0005-0000-0000-00005F000000}"/>
    <cellStyle name="40% - Accent3 2 3" xfId="120" xr:uid="{00000000-0005-0000-0000-000060000000}"/>
    <cellStyle name="40% - Accent3 2 3 2" xfId="464" xr:uid="{00000000-0005-0000-0000-000061000000}"/>
    <cellStyle name="40% - Accent3 2 4" xfId="121" xr:uid="{00000000-0005-0000-0000-000062000000}"/>
    <cellStyle name="40% - Accent3 2 5" xfId="122" xr:uid="{00000000-0005-0000-0000-000063000000}"/>
    <cellStyle name="40% - Accent3 2 6" xfId="1074" xr:uid="{A0055B92-9A1B-41E2-8C87-28A1A16DAC25}"/>
    <cellStyle name="40% - Accent3 3" xfId="1666" xr:uid="{231EC90A-11F6-4DDC-B95B-2D0993513FA6}"/>
    <cellStyle name="40% - Accent3 4" xfId="1667" xr:uid="{913B4166-5B8A-400E-9EC6-3A52F28C989D}"/>
    <cellStyle name="40% - Accent3 5" xfId="1668" xr:uid="{3EAD9DA2-6A8D-43F0-8AAE-7586CDCEDE85}"/>
    <cellStyle name="40% - Accent3 5 2" xfId="1669" xr:uid="{8E4E224F-2CEE-4F7D-A2B2-44A176C9C801}"/>
    <cellStyle name="40% - Accent3 5 2 2" xfId="1670" xr:uid="{72F44515-FEDA-4281-AB5B-262380516712}"/>
    <cellStyle name="40% - Accent3 5 2 3" xfId="1671" xr:uid="{F8860CFE-799D-4164-AA53-A5F0E8323018}"/>
    <cellStyle name="40% - Accent3 5 3" xfId="1672" xr:uid="{1C9FA53C-7502-4921-8403-A6249116E850}"/>
    <cellStyle name="40% - Accent3 5 4" xfId="1673" xr:uid="{02159E51-E7C1-4055-8ECA-D177CA22EEB4}"/>
    <cellStyle name="40% - Accent3 5 5" xfId="1674" xr:uid="{8EDD9199-9FDA-4943-9C73-93B275AA8B9B}"/>
    <cellStyle name="40% - Accent3 6" xfId="1675" xr:uid="{4149DF7C-F1F2-4163-8C7D-E964ED8FBA12}"/>
    <cellStyle name="40% - Accent3 7" xfId="1676" xr:uid="{1DB139A2-1DE9-4DB3-A37B-49C65AF37D9C}"/>
    <cellStyle name="40% - Accent3 8" xfId="1677" xr:uid="{8CDBA72E-7F3D-46EF-BD3A-07D1B4C7792C}"/>
    <cellStyle name="40% - Accent3 9" xfId="1678" xr:uid="{E8368E52-9F7C-49C9-8395-9A0D53B301C3}"/>
    <cellStyle name="40% - Accent4 2" xfId="123" xr:uid="{00000000-0005-0000-0000-000064000000}"/>
    <cellStyle name="40% - Accent4 2 2" xfId="124" xr:uid="{00000000-0005-0000-0000-000065000000}"/>
    <cellStyle name="40% - Accent4 2 2 2" xfId="125" xr:uid="{00000000-0005-0000-0000-000066000000}"/>
    <cellStyle name="40% - Accent4 2 2 2 2" xfId="465" xr:uid="{00000000-0005-0000-0000-000067000000}"/>
    <cellStyle name="40% - Accent4 2 2 3" xfId="126" xr:uid="{00000000-0005-0000-0000-000068000000}"/>
    <cellStyle name="40% - Accent4 2 2 4" xfId="127" xr:uid="{00000000-0005-0000-0000-000069000000}"/>
    <cellStyle name="40% - Accent4 2 3" xfId="128" xr:uid="{00000000-0005-0000-0000-00006A000000}"/>
    <cellStyle name="40% - Accent4 2 3 2" xfId="466" xr:uid="{00000000-0005-0000-0000-00006B000000}"/>
    <cellStyle name="40% - Accent4 2 4" xfId="129" xr:uid="{00000000-0005-0000-0000-00006C000000}"/>
    <cellStyle name="40% - Accent4 2 5" xfId="130" xr:uid="{00000000-0005-0000-0000-00006D000000}"/>
    <cellStyle name="40% - Accent4 2 6" xfId="1075" xr:uid="{F1568E1C-B65C-41FD-96A1-117159F659FC}"/>
    <cellStyle name="40% - Accent4 3" xfId="1679" xr:uid="{3B5451CE-22A9-40FA-9633-A232FC676D86}"/>
    <cellStyle name="40% - Accent4 4" xfId="1680" xr:uid="{47813820-0A83-4A87-9FCE-0438D7FD2041}"/>
    <cellStyle name="40% - Accent4 5" xfId="1681" xr:uid="{5A8418A4-BAE1-4CB7-A02C-CD53A3665A0A}"/>
    <cellStyle name="40% - Accent4 5 2" xfId="1682" xr:uid="{37AE666C-9F1B-492B-B17F-E2A6873C47B0}"/>
    <cellStyle name="40% - Accent4 5 2 2" xfId="1683" xr:uid="{BD120F09-B7E9-46A3-B036-F3AE8C578C2D}"/>
    <cellStyle name="40% - Accent4 5 2 3" xfId="1684" xr:uid="{A1310809-0DCA-45FB-BB76-C694D341799F}"/>
    <cellStyle name="40% - Accent4 5 3" xfId="1685" xr:uid="{E507F156-7C85-485A-A0F7-0D8AB6C19E88}"/>
    <cellStyle name="40% - Accent4 5 4" xfId="1686" xr:uid="{C0C718F8-467C-48D2-AE6D-B3F64DA50665}"/>
    <cellStyle name="40% - Accent4 5 5" xfId="1687" xr:uid="{66BEAFBD-E659-4B73-B499-28A01474C34C}"/>
    <cellStyle name="40% - Accent4 6" xfId="1688" xr:uid="{4C9179C3-62A5-44C4-9CB3-9DC55DBD3E3D}"/>
    <cellStyle name="40% - Accent4 7" xfId="1689" xr:uid="{83EB9F5B-E410-45E9-9C16-A06F7C5B692D}"/>
    <cellStyle name="40% - Accent4 8" xfId="1690" xr:uid="{8A22A69F-4D50-436E-841E-6CDB2F1F797E}"/>
    <cellStyle name="40% - Accent4 9" xfId="1691" xr:uid="{1E180A89-7DB4-45C4-8274-01CB55A68447}"/>
    <cellStyle name="40% - Accent5 2" xfId="131" xr:uid="{00000000-0005-0000-0000-00006E000000}"/>
    <cellStyle name="40% - Accent5 2 2" xfId="132" xr:uid="{00000000-0005-0000-0000-00006F000000}"/>
    <cellStyle name="40% - Accent5 2 2 2" xfId="133" xr:uid="{00000000-0005-0000-0000-000070000000}"/>
    <cellStyle name="40% - Accent5 2 2 2 2" xfId="468" xr:uid="{00000000-0005-0000-0000-000071000000}"/>
    <cellStyle name="40% - Accent5 2 2 3" xfId="467" xr:uid="{00000000-0005-0000-0000-000072000000}"/>
    <cellStyle name="40% - Accent5 2 2 4" xfId="1692" xr:uid="{F7DEE6CB-48D9-4F03-9A8D-6C21DB281A78}"/>
    <cellStyle name="40% - Accent5 2 3" xfId="134" xr:uid="{00000000-0005-0000-0000-000073000000}"/>
    <cellStyle name="40% - Accent5 2 3 2" xfId="469" xr:uid="{00000000-0005-0000-0000-000074000000}"/>
    <cellStyle name="40% - Accent5 2 4" xfId="135" xr:uid="{00000000-0005-0000-0000-000075000000}"/>
    <cellStyle name="40% - Accent5 2 5" xfId="1076" xr:uid="{F7815A3C-93EC-4E0F-8FAC-375419C9CFB6}"/>
    <cellStyle name="40% - Accent5 3" xfId="1693" xr:uid="{2A044725-6E3C-419B-97D1-40A34FC81BFC}"/>
    <cellStyle name="40% - Accent5 4" xfId="1694" xr:uid="{C15069EC-A9B5-4FC4-8D2B-5D83F0863829}"/>
    <cellStyle name="40% - Accent5 5" xfId="1695" xr:uid="{7EE765CD-F485-4D21-B463-E83443EA3BB4}"/>
    <cellStyle name="40% - Accent5 5 2" xfId="1696" xr:uid="{1E0CBFC0-3DC9-4EC7-98C9-7311AE749F2C}"/>
    <cellStyle name="40% - Accent5 5 2 2" xfId="1697" xr:uid="{AB902E9F-86EB-4C62-946B-FFE619222A43}"/>
    <cellStyle name="40% - Accent5 5 2 3" xfId="1698" xr:uid="{87718968-EFD3-41D5-A4B9-AE2AD3D384FC}"/>
    <cellStyle name="40% - Accent5 5 3" xfId="1699" xr:uid="{B2D30758-0B23-449E-B6A8-C6206A19C220}"/>
    <cellStyle name="40% - Accent5 5 4" xfId="1700" xr:uid="{BDDC31F7-C806-4A11-B5E8-36D7C91C4B04}"/>
    <cellStyle name="40% - Accent5 5 5" xfId="1701" xr:uid="{C84A2943-67BD-4649-9C1C-290B6582B77A}"/>
    <cellStyle name="40% - Accent5 6" xfId="1702" xr:uid="{83EA1114-70BD-4D83-875A-71C83FCB144D}"/>
    <cellStyle name="40% - Accent5 7" xfId="1703" xr:uid="{DFDF9EB9-0799-4CFF-B147-430960EDB8CC}"/>
    <cellStyle name="40% - Accent5 8" xfId="1704" xr:uid="{D1DA6264-0EED-4064-803D-72F56A9B5148}"/>
    <cellStyle name="40% - Accent5 9" xfId="1705" xr:uid="{0CF70BB3-5D99-4046-85E3-D3BE361DDFA2}"/>
    <cellStyle name="40% - Accent6 2" xfId="136" xr:uid="{00000000-0005-0000-0000-000076000000}"/>
    <cellStyle name="40% - Accent6 2 2" xfId="137" xr:uid="{00000000-0005-0000-0000-000077000000}"/>
    <cellStyle name="40% - Accent6 2 2 2" xfId="138" xr:uid="{00000000-0005-0000-0000-000078000000}"/>
    <cellStyle name="40% - Accent6 2 2 2 2" xfId="470" xr:uid="{00000000-0005-0000-0000-000079000000}"/>
    <cellStyle name="40% - Accent6 2 2 3" xfId="139" xr:uid="{00000000-0005-0000-0000-00007A000000}"/>
    <cellStyle name="40% - Accent6 2 2 4" xfId="140" xr:uid="{00000000-0005-0000-0000-00007B000000}"/>
    <cellStyle name="40% - Accent6 2 3" xfId="141" xr:uid="{00000000-0005-0000-0000-00007C000000}"/>
    <cellStyle name="40% - Accent6 2 3 2" xfId="471" xr:uid="{00000000-0005-0000-0000-00007D000000}"/>
    <cellStyle name="40% - Accent6 2 4" xfId="142" xr:uid="{00000000-0005-0000-0000-00007E000000}"/>
    <cellStyle name="40% - Accent6 2 5" xfId="143" xr:uid="{00000000-0005-0000-0000-00007F000000}"/>
    <cellStyle name="40% - Accent6 2 6" xfId="1077" xr:uid="{88E7C554-D9A1-4B40-AB41-9197670B1EC0}"/>
    <cellStyle name="40% - Accent6 3" xfId="1706" xr:uid="{E0A17B0F-06A3-444A-9C80-5D6F1CF04F20}"/>
    <cellStyle name="40% - Accent6 4" xfId="1707" xr:uid="{5C9AA711-48C1-4044-9FF2-CB6E6E80E8B6}"/>
    <cellStyle name="40% - Accent6 5" xfId="1708" xr:uid="{E39141F5-55A0-49C2-BFE3-A34C99490916}"/>
    <cellStyle name="40% - Accent6 5 2" xfId="1709" xr:uid="{491E23DD-50DA-4BF1-8F13-41115A70C559}"/>
    <cellStyle name="40% - Accent6 5 2 2" xfId="1710" xr:uid="{3ADF1DF2-4589-4023-879E-302BFA48A4BA}"/>
    <cellStyle name="40% - Accent6 5 2 3" xfId="1711" xr:uid="{0FDEF178-88F9-4E33-9626-2D1FB2C80477}"/>
    <cellStyle name="40% - Accent6 5 3" xfId="1712" xr:uid="{DEED00A1-C6B8-44AC-9835-9EB4A9B509CD}"/>
    <cellStyle name="40% - Accent6 5 4" xfId="1713" xr:uid="{B8DE2D43-D233-492E-B5E0-872A57A2CF32}"/>
    <cellStyle name="40% - Accent6 5 5" xfId="1714" xr:uid="{8B2D6FB7-77D6-4B65-8985-76E0D38D5972}"/>
    <cellStyle name="40% - Accent6 6" xfId="1715" xr:uid="{0E3B558F-50E8-404A-8D70-9ED9A68C31AC}"/>
    <cellStyle name="40% - Accent6 7" xfId="1716" xr:uid="{314018D9-65AD-48FE-BF39-588FC72733AF}"/>
    <cellStyle name="40% - Accent6 8" xfId="1717" xr:uid="{93574029-B5A4-4E05-911A-37938E264C4E}"/>
    <cellStyle name="40% - Accent6 9" xfId="1718" xr:uid="{F4E4F46C-DAC3-43D7-B713-EEC75D0DCA9B}"/>
    <cellStyle name="60% - Accent1 2" xfId="144" xr:uid="{00000000-0005-0000-0000-000080000000}"/>
    <cellStyle name="60% - Accent1 2 2" xfId="145" xr:uid="{00000000-0005-0000-0000-000081000000}"/>
    <cellStyle name="60% - Accent1 2 3" xfId="146" xr:uid="{00000000-0005-0000-0000-000082000000}"/>
    <cellStyle name="60% - Accent1 2 4" xfId="147" xr:uid="{00000000-0005-0000-0000-000083000000}"/>
    <cellStyle name="60% - Accent1 2 5" xfId="1078" xr:uid="{2CC15DC4-EF68-4A53-92F9-4EFDA9C90C6A}"/>
    <cellStyle name="60% - Accent1 3" xfId="1719" xr:uid="{EBBF87EC-28E5-46B2-A09A-081511366396}"/>
    <cellStyle name="60% - Accent1 4" xfId="1720" xr:uid="{CF15F5F4-70F4-4D42-9257-1584D71BCAE2}"/>
    <cellStyle name="60% - Accent1 5" xfId="1721" xr:uid="{7A467A4F-EFFE-4EA4-A1C1-7E6FA5BDB1AA}"/>
    <cellStyle name="60% - Accent1 6" xfId="1722" xr:uid="{3E8F3EA7-533A-4309-AF34-CF00E7B39B38}"/>
    <cellStyle name="60% - Accent1 7" xfId="1723" xr:uid="{D8330630-37E0-4518-BD63-EB31A72B7116}"/>
    <cellStyle name="60% - Accent1 8" xfId="1724" xr:uid="{EFED530D-99C4-4DB6-86E1-55FBD700447F}"/>
    <cellStyle name="60% - Accent1 9" xfId="1725" xr:uid="{BEB8A7B6-02B7-4058-ADB8-85144270B2F9}"/>
    <cellStyle name="60% - Accent2 2" xfId="148" xr:uid="{00000000-0005-0000-0000-000084000000}"/>
    <cellStyle name="60% - Accent2 2 2" xfId="149" xr:uid="{00000000-0005-0000-0000-000085000000}"/>
    <cellStyle name="60% - Accent2 2 2 2" xfId="1726" xr:uid="{4A591514-2C67-4A7C-949B-CE98A9A880CC}"/>
    <cellStyle name="60% - Accent2 2 3" xfId="150" xr:uid="{00000000-0005-0000-0000-000086000000}"/>
    <cellStyle name="60% - Accent2 2 4" xfId="1079" xr:uid="{57FD60EA-8003-4785-A11E-E73BE782EF3F}"/>
    <cellStyle name="60% - Accent2 3" xfId="1727" xr:uid="{BA9BD34F-5C89-474E-A62F-E2C6DAA7961F}"/>
    <cellStyle name="60% - Accent2 4" xfId="1728" xr:uid="{57FD22DB-B4FD-43D3-B4E2-29CD4881693F}"/>
    <cellStyle name="60% - Accent2 5" xfId="1729" xr:uid="{70EF8D3B-AF53-4D05-A008-30386120BD49}"/>
    <cellStyle name="60% - Accent2 6" xfId="1730" xr:uid="{BBA96C67-B734-4F38-B57F-D310C1A30985}"/>
    <cellStyle name="60% - Accent2 7" xfId="1731" xr:uid="{F7ED0B9E-FA69-47A1-B097-7A64E4DCC442}"/>
    <cellStyle name="60% - Accent2 8" xfId="1732" xr:uid="{04F60EE6-2C05-42D4-9D19-99F7B24FBDFF}"/>
    <cellStyle name="60% - Accent2 9" xfId="1733" xr:uid="{32FFFD72-CBB8-4743-9D25-996047C6392D}"/>
    <cellStyle name="60% - Accent3 2" xfId="151" xr:uid="{00000000-0005-0000-0000-000087000000}"/>
    <cellStyle name="60% - Accent3 2 2" xfId="152" xr:uid="{00000000-0005-0000-0000-000088000000}"/>
    <cellStyle name="60% - Accent3 2 3" xfId="153" xr:uid="{00000000-0005-0000-0000-000089000000}"/>
    <cellStyle name="60% - Accent3 2 4" xfId="154" xr:uid="{00000000-0005-0000-0000-00008A000000}"/>
    <cellStyle name="60% - Accent3 2 5" xfId="1080" xr:uid="{614EBEB2-7122-4FC3-A767-8B963B318440}"/>
    <cellStyle name="60% - Accent3 3" xfId="1734" xr:uid="{04784D95-FB0C-43E8-81C4-D35293166065}"/>
    <cellStyle name="60% - Accent3 4" xfId="1735" xr:uid="{0EABB8AC-15ED-4FF0-843B-27DF7DA0F6E5}"/>
    <cellStyle name="60% - Accent3 5" xfId="1736" xr:uid="{81984E63-87B1-45BF-802A-305D63F9AEB4}"/>
    <cellStyle name="60% - Accent3 6" xfId="1737" xr:uid="{99354E3A-9DEE-470D-858F-655B8F59B01B}"/>
    <cellStyle name="60% - Accent3 7" xfId="1738" xr:uid="{2D6037B4-3F8E-4367-A45B-007080FB70CB}"/>
    <cellStyle name="60% - Accent3 8" xfId="1739" xr:uid="{EEA49D48-A073-4829-8568-EED8DE5F86F3}"/>
    <cellStyle name="60% - Accent3 9" xfId="1740" xr:uid="{E2113178-29F7-453A-9AE5-3A872E473A97}"/>
    <cellStyle name="60% - Accent4 2" xfId="155" xr:uid="{00000000-0005-0000-0000-00008B000000}"/>
    <cellStyle name="60% - Accent4 2 2" xfId="156" xr:uid="{00000000-0005-0000-0000-00008C000000}"/>
    <cellStyle name="60% - Accent4 2 3" xfId="157" xr:uid="{00000000-0005-0000-0000-00008D000000}"/>
    <cellStyle name="60% - Accent4 2 4" xfId="158" xr:uid="{00000000-0005-0000-0000-00008E000000}"/>
    <cellStyle name="60% - Accent4 2 5" xfId="1081" xr:uid="{77BDB50F-AAC8-4ECA-8E21-FABF8AD194A8}"/>
    <cellStyle name="60% - Accent4 3" xfId="1741" xr:uid="{E2F4A9EC-5E0E-4877-9CD9-FB2DF65DB602}"/>
    <cellStyle name="60% - Accent4 4" xfId="1742" xr:uid="{5A458DCB-257D-49EB-8FFA-A2C87330F49E}"/>
    <cellStyle name="60% - Accent4 5" xfId="1743" xr:uid="{4146E361-3D96-4CF4-8645-DD1AA37B0F66}"/>
    <cellStyle name="60% - Accent4 6" xfId="1744" xr:uid="{DC5ADD87-3C97-4A8A-A13A-8B84F565C6FD}"/>
    <cellStyle name="60% - Accent4 7" xfId="1745" xr:uid="{6E7588C5-5DF1-4CDE-8E6F-09F9981F491A}"/>
    <cellStyle name="60% - Accent4 8" xfId="1746" xr:uid="{25AF93A7-4AF7-4711-96E9-F3B0875CEA9D}"/>
    <cellStyle name="60% - Accent4 9" xfId="1747" xr:uid="{EAE9D204-9564-47E8-A976-FF126384888B}"/>
    <cellStyle name="60% - Accent5 2" xfId="159" xr:uid="{00000000-0005-0000-0000-00008F000000}"/>
    <cellStyle name="60% - Accent5 2 2" xfId="160" xr:uid="{00000000-0005-0000-0000-000090000000}"/>
    <cellStyle name="60% - Accent5 2 2 2" xfId="1748" xr:uid="{74FAE3D9-C618-4FDB-BB46-F087B32521F3}"/>
    <cellStyle name="60% - Accent5 2 3" xfId="161" xr:uid="{00000000-0005-0000-0000-000091000000}"/>
    <cellStyle name="60% - Accent5 2 4" xfId="1082" xr:uid="{A387C009-4DC8-40C3-81FE-AB56A00D571C}"/>
    <cellStyle name="60% - Accent5 3" xfId="1749" xr:uid="{2C0779AD-C287-47AA-A7BD-68E71DAFCAEE}"/>
    <cellStyle name="60% - Accent5 4" xfId="1750" xr:uid="{25FA6FFF-643C-4CBE-AB2A-5589069D5D0B}"/>
    <cellStyle name="60% - Accent5 5" xfId="1751" xr:uid="{2FF62D6F-0047-49C4-B320-E61613E705C8}"/>
    <cellStyle name="60% - Accent5 6" xfId="1752" xr:uid="{655D62EA-6083-4399-8E1F-916A52965593}"/>
    <cellStyle name="60% - Accent5 7" xfId="1753" xr:uid="{C9CAACD4-62C7-4E60-8D65-751EC872DF16}"/>
    <cellStyle name="60% - Accent5 8" xfId="1754" xr:uid="{C1D133EA-1374-4118-8E5A-9DEDB7937902}"/>
    <cellStyle name="60% - Accent5 9" xfId="1755" xr:uid="{B34AA94B-B7FB-4824-A42C-211302AC4B0D}"/>
    <cellStyle name="60% - Accent6 2" xfId="162" xr:uid="{00000000-0005-0000-0000-000092000000}"/>
    <cellStyle name="60% - Accent6 2 2" xfId="163" xr:uid="{00000000-0005-0000-0000-000093000000}"/>
    <cellStyle name="60% - Accent6 2 3" xfId="164" xr:uid="{00000000-0005-0000-0000-000094000000}"/>
    <cellStyle name="60% - Accent6 2 4" xfId="165" xr:uid="{00000000-0005-0000-0000-000095000000}"/>
    <cellStyle name="60% - Accent6 2 5" xfId="1083" xr:uid="{978F174F-0834-49F2-A487-4FC3C909EDB5}"/>
    <cellStyle name="60% - Accent6 3" xfId="1756" xr:uid="{01A4B7BC-D41A-47C1-A084-1900D9D9B455}"/>
    <cellStyle name="60% - Accent6 4" xfId="1757" xr:uid="{72464833-4053-42D9-BB8B-31672854CDED}"/>
    <cellStyle name="60% - Accent6 5" xfId="1758" xr:uid="{9A1E673C-4F20-485E-9BC9-428200389792}"/>
    <cellStyle name="60% - Accent6 6" xfId="1759" xr:uid="{20913936-B0C0-4484-A6FC-D44882FA8BFD}"/>
    <cellStyle name="60% - Accent6 7" xfId="1760" xr:uid="{2412E1AC-3F76-4BB0-99B2-4D4F8AC35C7F}"/>
    <cellStyle name="60% - Accent6 8" xfId="1761" xr:uid="{E469024D-14D0-4890-AB82-C702223E949D}"/>
    <cellStyle name="60% - Accent6 9" xfId="1762" xr:uid="{FFADF7E5-F3DE-4780-AAC8-76C12276E98E}"/>
    <cellStyle name="A3 297 x 420 mm" xfId="1" xr:uid="{00000000-0005-0000-0000-000096000000}"/>
    <cellStyle name="A3 297 x 420 mm 2" xfId="20" xr:uid="{00000000-0005-0000-0000-000097000000}"/>
    <cellStyle name="A3 297 x 420 mm 2 2" xfId="35" xr:uid="{00000000-0005-0000-0000-000098000000}"/>
    <cellStyle name="Accent1 2" xfId="166" xr:uid="{00000000-0005-0000-0000-000099000000}"/>
    <cellStyle name="Accent1 2 2" xfId="167" xr:uid="{00000000-0005-0000-0000-00009A000000}"/>
    <cellStyle name="Accent1 2 3" xfId="168" xr:uid="{00000000-0005-0000-0000-00009B000000}"/>
    <cellStyle name="Accent1 2 4" xfId="169" xr:uid="{00000000-0005-0000-0000-00009C000000}"/>
    <cellStyle name="Accent1 2 5" xfId="1084" xr:uid="{3A2A694C-D670-4F62-8F92-42FC9A760295}"/>
    <cellStyle name="Accent1 3" xfId="1763" xr:uid="{3CA1AB24-76FA-4610-ADE5-758E21004864}"/>
    <cellStyle name="Accent1 4" xfId="1764" xr:uid="{1854BE87-F14E-4EBC-BEA4-4B2332405BED}"/>
    <cellStyle name="Accent1 5" xfId="1765" xr:uid="{77BA1432-AA79-4F63-9907-4E830063D7CE}"/>
    <cellStyle name="Accent1 6" xfId="1766" xr:uid="{BF468FE6-7B09-4A96-8146-448A732777BD}"/>
    <cellStyle name="Accent1 7" xfId="1767" xr:uid="{3A153E50-2880-48C3-BB4F-C254F94062A5}"/>
    <cellStyle name="Accent1 8" xfId="1768" xr:uid="{525B58BB-BAF0-4D69-A0D5-EF0B1EA297AA}"/>
    <cellStyle name="Accent1 9" xfId="1769" xr:uid="{81D789E0-D06D-4389-AB70-47FA33D0041E}"/>
    <cellStyle name="Accent2 2" xfId="170" xr:uid="{00000000-0005-0000-0000-00009D000000}"/>
    <cellStyle name="Accent2 2 2" xfId="171" xr:uid="{00000000-0005-0000-0000-00009E000000}"/>
    <cellStyle name="Accent2 2 2 2" xfId="1770" xr:uid="{A8BA0718-C542-4C47-90AA-DCD687833647}"/>
    <cellStyle name="Accent2 2 3" xfId="172" xr:uid="{00000000-0005-0000-0000-00009F000000}"/>
    <cellStyle name="Accent2 2 4" xfId="1085" xr:uid="{1F401679-BA1B-4BA6-87BE-A21064D1AFCA}"/>
    <cellStyle name="Accent2 3" xfId="1771" xr:uid="{8B7EA04B-69A9-4C9C-AA5C-67EA9242F169}"/>
    <cellStyle name="Accent2 4" xfId="1772" xr:uid="{59497369-516F-4D66-A9E4-E921A91EA30A}"/>
    <cellStyle name="Accent2 5" xfId="1773" xr:uid="{68F4F0E2-8078-4BEC-8FFC-2CDE947A4824}"/>
    <cellStyle name="Accent2 6" xfId="1774" xr:uid="{E0FDCECF-4048-4CF6-9C74-834041B8A871}"/>
    <cellStyle name="Accent2 7" xfId="1775" xr:uid="{5810DC8E-5BA2-4CE6-B3CD-2322F2E161A1}"/>
    <cellStyle name="Accent2 8" xfId="1776" xr:uid="{EBCAF976-420C-4E12-AB40-F2B09B645E0B}"/>
    <cellStyle name="Accent2 9" xfId="1777" xr:uid="{2395A0DA-0FA4-4279-9DCD-9296F6F7ED87}"/>
    <cellStyle name="Accent3 2" xfId="173" xr:uid="{00000000-0005-0000-0000-0000A0000000}"/>
    <cellStyle name="Accent3 2 2" xfId="174" xr:uid="{00000000-0005-0000-0000-0000A1000000}"/>
    <cellStyle name="Accent3 2 2 2" xfId="1778" xr:uid="{22A3D412-C6F1-4B89-8537-67CCD229E83B}"/>
    <cellStyle name="Accent3 2 3" xfId="175" xr:uid="{00000000-0005-0000-0000-0000A2000000}"/>
    <cellStyle name="Accent3 2 4" xfId="1086" xr:uid="{0922DF0B-2C72-4A31-9848-C7005B1AA1C3}"/>
    <cellStyle name="Accent3 3" xfId="1779" xr:uid="{DBFC3F4A-D2CA-4B10-BABA-088FEB270BE6}"/>
    <cellStyle name="Accent3 4" xfId="1780" xr:uid="{505719B9-AB4B-4954-A6FC-5727F0F323EE}"/>
    <cellStyle name="Accent3 5" xfId="1781" xr:uid="{3F62345F-62A3-4BAE-A7A7-FDAA3F96F826}"/>
    <cellStyle name="Accent3 6" xfId="1782" xr:uid="{6B21B692-EBE8-4575-9AAD-65F35A230300}"/>
    <cellStyle name="Accent3 7" xfId="1783" xr:uid="{121D3749-0DA1-4C04-BAE5-9E8E1EE60B1C}"/>
    <cellStyle name="Accent3 8" xfId="1784" xr:uid="{02829DBC-9B9F-4447-85DD-DA7DFAF690B5}"/>
    <cellStyle name="Accent3 9" xfId="1785" xr:uid="{1E8EB901-F86F-43C7-BCFA-AC75887EE300}"/>
    <cellStyle name="Accent4 2" xfId="176" xr:uid="{00000000-0005-0000-0000-0000A3000000}"/>
    <cellStyle name="Accent4 2 2" xfId="177" xr:uid="{00000000-0005-0000-0000-0000A4000000}"/>
    <cellStyle name="Accent4 2 3" xfId="178" xr:uid="{00000000-0005-0000-0000-0000A5000000}"/>
    <cellStyle name="Accent4 2 4" xfId="179" xr:uid="{00000000-0005-0000-0000-0000A6000000}"/>
    <cellStyle name="Accent4 2 5" xfId="1087" xr:uid="{0342C559-DABE-4A71-BE1D-A2DBFCEA46E2}"/>
    <cellStyle name="Accent4 3" xfId="1786" xr:uid="{E15E777F-BFDF-4311-8754-3B415FEC45A3}"/>
    <cellStyle name="Accent4 4" xfId="1787" xr:uid="{4335FC8B-B570-4FD3-8706-1287831945F1}"/>
    <cellStyle name="Accent4 5" xfId="1788" xr:uid="{AA574551-A96E-4D27-84D1-9791FC420211}"/>
    <cellStyle name="Accent4 6" xfId="1789" xr:uid="{EFF17C6C-4821-4283-935F-3827E4E2C09C}"/>
    <cellStyle name="Accent4 7" xfId="1790" xr:uid="{6F6DF410-F50F-420F-A1B6-EF8E79A194EB}"/>
    <cellStyle name="Accent4 8" xfId="1791" xr:uid="{AC3BE8C3-7410-4A01-8497-4E4E65AD382D}"/>
    <cellStyle name="Accent4 9" xfId="1792" xr:uid="{EA08B5D8-2CF0-48F9-8F26-089AB613A0B4}"/>
    <cellStyle name="Accent5 2" xfId="180" xr:uid="{00000000-0005-0000-0000-0000A7000000}"/>
    <cellStyle name="Accent5 2 2" xfId="181" xr:uid="{00000000-0005-0000-0000-0000A8000000}"/>
    <cellStyle name="Accent5 2 2 2" xfId="1793" xr:uid="{12D6C9F0-67A6-488D-A339-80856638AD99}"/>
    <cellStyle name="Accent5 2 3" xfId="182" xr:uid="{00000000-0005-0000-0000-0000A9000000}"/>
    <cellStyle name="Accent5 2 4" xfId="1088" xr:uid="{5430630E-A905-444D-B462-190D1E498AA0}"/>
    <cellStyle name="Accent5 3" xfId="1794" xr:uid="{7DD4475A-B90E-4D63-9A3A-56A0393E2572}"/>
    <cellStyle name="Accent5 4" xfId="1795" xr:uid="{2F093D26-A867-4D1B-ADF3-2AC5227C0D30}"/>
    <cellStyle name="Accent5 5" xfId="1796" xr:uid="{A6D2C1E5-92AF-4437-BCD0-FD250A0464F7}"/>
    <cellStyle name="Accent5 6" xfId="1797" xr:uid="{9BC4C777-D91F-489E-9F92-1457A6AA67C7}"/>
    <cellStyle name="Accent5 7" xfId="1798" xr:uid="{5C092199-36C7-4203-BB7F-8B498E9DF279}"/>
    <cellStyle name="Accent5 8" xfId="1799" xr:uid="{67515A76-CD3C-4DC0-B365-7340BEE864A2}"/>
    <cellStyle name="Accent5 9" xfId="1800" xr:uid="{8B8A7654-54A4-4285-9080-7BB4E9911A94}"/>
    <cellStyle name="Accent6 2" xfId="183" xr:uid="{00000000-0005-0000-0000-0000AA000000}"/>
    <cellStyle name="Accent6 2 2" xfId="184" xr:uid="{00000000-0005-0000-0000-0000AB000000}"/>
    <cellStyle name="Accent6 2 2 2" xfId="1801" xr:uid="{151F04CC-8C7E-4916-81C3-1F70F7E0D5BD}"/>
    <cellStyle name="Accent6 2 3" xfId="185" xr:uid="{00000000-0005-0000-0000-0000AC000000}"/>
    <cellStyle name="Accent6 2 4" xfId="1089" xr:uid="{12526092-E4E1-4403-BA4C-9F5C79C8C76A}"/>
    <cellStyle name="Accent6 3" xfId="1802" xr:uid="{9374DF8B-E19C-4959-ACB7-EB21DA9F2858}"/>
    <cellStyle name="Accent6 4" xfId="1803" xr:uid="{6BF92FBB-B6A2-46A1-A1EB-093444B59779}"/>
    <cellStyle name="Accent6 5" xfId="1804" xr:uid="{777D7F15-55D6-42D3-8021-F6750EA40218}"/>
    <cellStyle name="Accent6 6" xfId="1805" xr:uid="{1FD8A419-D1B6-4AF0-992D-65108A6C25B1}"/>
    <cellStyle name="Accent6 7" xfId="1806" xr:uid="{2F147934-C9CC-4630-90EE-1549DDC3CC9C}"/>
    <cellStyle name="Accent6 8" xfId="1807" xr:uid="{EC37AF2C-AAB0-4523-AB7A-45AF881EF96F}"/>
    <cellStyle name="Accent6 9" xfId="1808" xr:uid="{CEB8AE68-50C0-47E6-A3B1-1F12B377C233}"/>
    <cellStyle name="Bad 2" xfId="186" xr:uid="{00000000-0005-0000-0000-0000AD000000}"/>
    <cellStyle name="Bad 2 2" xfId="187" xr:uid="{00000000-0005-0000-0000-0000AE000000}"/>
    <cellStyle name="Bad 2 2 2" xfId="1809" xr:uid="{F7E8EF2C-D738-4E7A-9F87-05AA660A707A}"/>
    <cellStyle name="Bad 2 3" xfId="188" xr:uid="{00000000-0005-0000-0000-0000AF000000}"/>
    <cellStyle name="Bad 2 4" xfId="1090" xr:uid="{7CF92874-3332-4783-8DE8-BC3D40668CE2}"/>
    <cellStyle name="Bad 3" xfId="1810" xr:uid="{47A098F0-1461-4FC7-8A6D-DBBC7F9686F3}"/>
    <cellStyle name="Bad 4" xfId="1811" xr:uid="{1DA5E454-9AEB-4AB5-9B43-1D2CADC711C0}"/>
    <cellStyle name="Bad 5" xfId="1812" xr:uid="{F304C652-3115-4FDD-B89A-FC5CE1BC76A2}"/>
    <cellStyle name="Bad 6" xfId="1813" xr:uid="{3C4224CA-71FA-4A89-8575-C2037118FA94}"/>
    <cellStyle name="Bad 7" xfId="1814" xr:uid="{38C382BC-392D-4809-8A57-3C7DC270CC16}"/>
    <cellStyle name="Bad 8" xfId="1815" xr:uid="{32E635CC-F1C6-4639-B7DF-6E78D6B35633}"/>
    <cellStyle name="Bad 9" xfId="1816" xr:uid="{8C5482AD-61B7-443A-8BBF-0CB859A2DF62}"/>
    <cellStyle name="Basic" xfId="574" xr:uid="{4EA0BC10-2F81-4DBF-A75A-420F0658E13A}"/>
    <cellStyle name="black" xfId="575" xr:uid="{2B9AA62A-A673-4C8D-A4DE-FD7A1A9C4DA1}"/>
    <cellStyle name="blu" xfId="576" xr:uid="{3B814C0B-F268-4DEA-B781-480FC8825F24}"/>
    <cellStyle name="bot" xfId="577" xr:uid="{CD0E0748-D079-440C-9276-BB5E7E62AA2C}"/>
    <cellStyle name="Bullet" xfId="578" xr:uid="{528AA0A4-DBE9-4A9C-B52D-6DF22C1EAE2D}"/>
    <cellStyle name="Bullet [0]" xfId="579" xr:uid="{18E059B0-EE33-4149-A675-4F31A64B305A}"/>
    <cellStyle name="Bullet [2]" xfId="580" xr:uid="{B8F61023-FD53-4F76-A634-C3E3F7A4FDA3}"/>
    <cellStyle name="Bullet [4]" xfId="581" xr:uid="{A9D23658-97B5-48B1-88BD-E03CBE0360D0}"/>
    <cellStyle name="c" xfId="582" xr:uid="{FBAF62EB-74DF-49C3-BC1E-3FF21EC50B3F}"/>
    <cellStyle name="c," xfId="583" xr:uid="{BA6E5AD4-3966-4409-8715-A51F0463D06E}"/>
    <cellStyle name="c_HardInc " xfId="584" xr:uid="{FCDDEF23-035E-4075-AC4F-A6D8801C65FB}"/>
    <cellStyle name="c_HardInc _ITC Great Plains Formula 1-12-09a" xfId="585" xr:uid="{6E4E6A56-69DF-4B9B-928F-60EBF4B58827}"/>
    <cellStyle name="C00A" xfId="586" xr:uid="{D2AC068B-891C-4467-8EA3-59060D8909A5}"/>
    <cellStyle name="C00B" xfId="587" xr:uid="{500A2E8E-8170-47F2-9948-22F1E7253625}"/>
    <cellStyle name="C00L" xfId="588" xr:uid="{719AE53F-5B87-4304-BD04-AABD596CB4AE}"/>
    <cellStyle name="C01A" xfId="589" xr:uid="{1DE348F8-E881-4132-8780-69E2EA09ECB1}"/>
    <cellStyle name="C01B" xfId="590" xr:uid="{FD62C160-2966-4DCE-AC3E-8895D0C6DB28}"/>
    <cellStyle name="C01H" xfId="591" xr:uid="{27664DA5-659E-493D-8AE1-5FA27639B1FC}"/>
    <cellStyle name="C01L" xfId="592" xr:uid="{7D0DAD37-2D6D-421F-B995-7B928B37BF3D}"/>
    <cellStyle name="C02A" xfId="593" xr:uid="{E4088A8C-597D-43F9-9914-767775364D59}"/>
    <cellStyle name="C02B" xfId="594" xr:uid="{AF71929D-346D-4FB3-8B70-63766ED9B4EB}"/>
    <cellStyle name="C02H" xfId="595" xr:uid="{0B37D9CC-DF24-48BE-A180-7483C25060D0}"/>
    <cellStyle name="C02L" xfId="596" xr:uid="{6F01174D-8219-486B-A818-8EBACA0E7441}"/>
    <cellStyle name="C03A" xfId="597" xr:uid="{AE5B04FA-E0D4-4775-9593-FD1B76D29BEC}"/>
    <cellStyle name="C03B" xfId="598" xr:uid="{D808A082-B05E-48FB-84F8-192543682A6A}"/>
    <cellStyle name="C03H" xfId="599" xr:uid="{30F1DAFB-9E15-49B1-A292-924F29B82F38}"/>
    <cellStyle name="C03L" xfId="600" xr:uid="{2B291D26-6477-42D8-A754-31C88CB055B0}"/>
    <cellStyle name="C04A" xfId="601" xr:uid="{B6E2BFA3-BB54-4FAA-92AB-A3ECCA45472A}"/>
    <cellStyle name="C04B" xfId="602" xr:uid="{76E3C151-AE50-4EEF-8C27-3ACE0BDEC61F}"/>
    <cellStyle name="C04H" xfId="603" xr:uid="{EE557A4C-358F-4568-9A70-E62D3DCDCE16}"/>
    <cellStyle name="C04L" xfId="604" xr:uid="{FAF8CE67-B876-45E3-B87C-BC4B1E2CD42A}"/>
    <cellStyle name="C05A" xfId="605" xr:uid="{CC370B69-049B-4E06-8146-57FDDDB86318}"/>
    <cellStyle name="C05B" xfId="606" xr:uid="{F28493AB-2699-469D-8711-F88DD77649F3}"/>
    <cellStyle name="C05H" xfId="607" xr:uid="{F0314007-755F-423A-B613-6E34B931A650}"/>
    <cellStyle name="C05L" xfId="608" xr:uid="{36196234-900E-412C-A107-3D6F36ED1E15}"/>
    <cellStyle name="C05L 2" xfId="609" xr:uid="{2AC209CF-2AA4-4F38-A71A-704E2DE87BB4}"/>
    <cellStyle name="C06A" xfId="610" xr:uid="{DB076CA0-EEE8-48B8-B0F4-4EB50DF63678}"/>
    <cellStyle name="C06B" xfId="611" xr:uid="{EB7B6270-2F94-4A5B-A0B3-96E3CA20AA44}"/>
    <cellStyle name="C06H" xfId="612" xr:uid="{7D3B34C6-769A-4D0E-A1B0-9FC97E3D347D}"/>
    <cellStyle name="C06L" xfId="613" xr:uid="{101B3E4D-D195-48E0-9B96-DB69CFB6A9CF}"/>
    <cellStyle name="C07A" xfId="614" xr:uid="{CB30C5A1-A81E-4038-BCF3-4DC45B9FE040}"/>
    <cellStyle name="C07B" xfId="615" xr:uid="{19F93DBB-BBBA-47EE-BE4C-1D3E065D2FF9}"/>
    <cellStyle name="C07H" xfId="616" xr:uid="{E3A68A6A-AD74-4166-8C25-2489F7B69EAD}"/>
    <cellStyle name="C07L" xfId="617" xr:uid="{F9404147-9557-4501-A038-83B539BE925C}"/>
    <cellStyle name="c1" xfId="618" xr:uid="{C7723AE9-2064-47FE-8C2A-7043B71D60A5}"/>
    <cellStyle name="c1," xfId="619" xr:uid="{6C381319-D6AA-452B-B86E-0BD82FBA66E0}"/>
    <cellStyle name="c2" xfId="620" xr:uid="{EB930374-744B-41FB-9E96-DB3B19FDFE93}"/>
    <cellStyle name="c2," xfId="621" xr:uid="{D8773CA0-7A91-40D2-BC24-298EDDDA5271}"/>
    <cellStyle name="c3" xfId="622" xr:uid="{64F4FE98-AB42-4577-9020-541462F40E93}"/>
    <cellStyle name="Calculation 2" xfId="189" xr:uid="{00000000-0005-0000-0000-0000B0000000}"/>
    <cellStyle name="Calculation 2 2" xfId="190" xr:uid="{00000000-0005-0000-0000-0000B1000000}"/>
    <cellStyle name="Calculation 2 3" xfId="191" xr:uid="{00000000-0005-0000-0000-0000B2000000}"/>
    <cellStyle name="Calculation 2 4" xfId="192" xr:uid="{00000000-0005-0000-0000-0000B3000000}"/>
    <cellStyle name="Calculation 2 5" xfId="1091" xr:uid="{31149210-A9DF-497E-B4DD-791A4B7ADDAD}"/>
    <cellStyle name="Calculation 3" xfId="1817" xr:uid="{6CE87D98-90B4-4A6F-9155-7CC59AB0E1EA}"/>
    <cellStyle name="Calculation 4" xfId="1818" xr:uid="{4CF52A9C-35BD-4026-8812-96E64305FD60}"/>
    <cellStyle name="Calculation 5" xfId="1819" xr:uid="{995D1196-3B63-4A8F-8917-033FFD964E2B}"/>
    <cellStyle name="Calculation 6" xfId="1820" xr:uid="{C17FC2CF-3FD0-4CB0-B98E-43206EEE3DCE}"/>
    <cellStyle name="Calculation 7" xfId="1821" xr:uid="{642C5C4B-ECB7-4D8C-AC57-4259FD276B6F}"/>
    <cellStyle name="Calculation 8" xfId="1822" xr:uid="{CD4A2C43-9404-4915-AA9A-9AAAB7B87787}"/>
    <cellStyle name="Calculation 9" xfId="1823" xr:uid="{6D00C48B-DE2D-4CE2-BBB4-AECFE77AA0F0}"/>
    <cellStyle name="cas" xfId="623" xr:uid="{CDD74340-4EAE-42D3-BF04-4B38A95E4C2F}"/>
    <cellStyle name="Centered Heading" xfId="624" xr:uid="{2BBBAAB8-A33E-47D9-A51F-C0D0123DF5ED}"/>
    <cellStyle name="Check Cell 2" xfId="193" xr:uid="{00000000-0005-0000-0000-0000B4000000}"/>
    <cellStyle name="Check Cell 2 2" xfId="194" xr:uid="{00000000-0005-0000-0000-0000B5000000}"/>
    <cellStyle name="Check Cell 2 2 2" xfId="1824" xr:uid="{D8558760-4269-4CF0-91CF-7171543A28A8}"/>
    <cellStyle name="Check Cell 2 3" xfId="195" xr:uid="{00000000-0005-0000-0000-0000B6000000}"/>
    <cellStyle name="Check Cell 2 4" xfId="1092" xr:uid="{64CAC161-B5D3-4247-BCEB-5602285098CE}"/>
    <cellStyle name="Check Cell 3" xfId="1825" xr:uid="{ADFCF859-4156-4C3C-9370-3E89600855D5}"/>
    <cellStyle name="Check Cell 4" xfId="1826" xr:uid="{44371C61-FF39-4094-99E7-ACE671EF7CB5}"/>
    <cellStyle name="Check Cell 5" xfId="1827" xr:uid="{8476498A-7A94-4063-9E68-90FCDD4AE1C5}"/>
    <cellStyle name="Check Cell 6" xfId="1828" xr:uid="{AAE6A411-81C3-4F86-9E02-3F3DD8385302}"/>
    <cellStyle name="Check Cell 7" xfId="1829" xr:uid="{380BB2F6-7012-4E6B-8C28-5B258FAB5A8E}"/>
    <cellStyle name="Check Cell 8" xfId="1830" xr:uid="{03F60B42-0702-43D9-8525-ACAE4D5B7565}"/>
    <cellStyle name="Check Cell 9" xfId="1831" xr:uid="{B227F53C-B251-41F0-84FC-65902A1AF9A8}"/>
    <cellStyle name="Comma" xfId="2" builtinId="3"/>
    <cellStyle name="Comma  - Style1" xfId="625" xr:uid="{E6F8F013-D5F6-413C-BF18-0FFEB8459360}"/>
    <cellStyle name="Comma  - Style2" xfId="626" xr:uid="{9C4FEF5D-272C-4065-848C-323D6871C860}"/>
    <cellStyle name="Comma  - Style3" xfId="627" xr:uid="{D9A907DC-1D27-498F-A291-2733774236E0}"/>
    <cellStyle name="Comma  - Style4" xfId="628" xr:uid="{F8087D40-3955-46E3-8672-37253FB7F451}"/>
    <cellStyle name="Comma  - Style5" xfId="629" xr:uid="{28BDCF0F-FF15-47C8-9126-646FC2D12D07}"/>
    <cellStyle name="Comma  - Style6" xfId="630" xr:uid="{0831818A-206B-42ED-B62A-39CD1F9CF969}"/>
    <cellStyle name="Comma  - Style7" xfId="631" xr:uid="{DCA55CB4-A81C-4EC5-9829-55074ACFC0A7}"/>
    <cellStyle name="Comma  - Style8" xfId="632" xr:uid="{E0D9C1B4-025F-4E34-B705-5CC4A5925F8B}"/>
    <cellStyle name="Comma [0]" xfId="3" builtinId="6"/>
    <cellStyle name="Comma [0] 2" xfId="36" xr:uid="{00000000-0005-0000-0000-0000B9000000}"/>
    <cellStyle name="Comma [0] 2 2" xfId="542" xr:uid="{B3B2BE5F-BBF8-4CAC-8530-7F9508C0C157}"/>
    <cellStyle name="Comma [0] 3 2" xfId="549" xr:uid="{685F24DA-2850-49A4-9152-8DD17AF0C1B1}"/>
    <cellStyle name="Comma [1]" xfId="633" xr:uid="{CAD6DBAD-941A-4C45-8E0A-9DFB113E72DF}"/>
    <cellStyle name="Comma [2]" xfId="634" xr:uid="{BD5C9345-9D01-46F1-8796-21BD57416B72}"/>
    <cellStyle name="Comma [3]" xfId="635" xr:uid="{6B9D617C-E402-4BBE-ADE5-CBD35B7CE6A8}"/>
    <cellStyle name="Comma 0.0" xfId="636" xr:uid="{7D4223F6-7965-40F3-A04D-358BBE12BDB3}"/>
    <cellStyle name="Comma 0.00" xfId="637" xr:uid="{43543E9A-C458-421E-8C9F-44FEFB3A3C4F}"/>
    <cellStyle name="Comma 0.000" xfId="638" xr:uid="{12A403E8-50FB-4865-860B-AF8864060689}"/>
    <cellStyle name="Comma 0.0000" xfId="639" xr:uid="{200661E0-86EE-4990-87F9-596B60D011AE}"/>
    <cellStyle name="Comma 10" xfId="196" xr:uid="{00000000-0005-0000-0000-0000BA000000}"/>
    <cellStyle name="Comma 10 2" xfId="29" xr:uid="{00000000-0005-0000-0000-0000BB000000}"/>
    <cellStyle name="Comma 10 2 2" xfId="436" xr:uid="{00000000-0005-0000-0000-0000BC000000}"/>
    <cellStyle name="Comma 10 2 2 2" xfId="1832" xr:uid="{2627E28F-33F5-4140-ABDF-FEF7530C36A3}"/>
    <cellStyle name="Comma 10 3" xfId="472" xr:uid="{00000000-0005-0000-0000-0000BD000000}"/>
    <cellStyle name="Comma 10 3 2" xfId="1833" xr:uid="{7246E1A9-9235-4981-9305-380E0D04A10E}"/>
    <cellStyle name="Comma 11" xfId="37" xr:uid="{00000000-0005-0000-0000-0000BE000000}"/>
    <cellStyle name="Comma 11 2" xfId="197" xr:uid="{00000000-0005-0000-0000-0000BF000000}"/>
    <cellStyle name="Comma 11 3" xfId="640" xr:uid="{9601724D-D270-432D-9DB5-F1CBBA7E0A23}"/>
    <cellStyle name="Comma 12" xfId="198" xr:uid="{00000000-0005-0000-0000-0000C0000000}"/>
    <cellStyle name="Comma 12 2" xfId="199" xr:uid="{00000000-0005-0000-0000-0000C1000000}"/>
    <cellStyle name="Comma 12 2 2" xfId="10293" xr:uid="{BE57EC8E-C786-4AE0-8E9E-E3C652EB46AD}"/>
    <cellStyle name="Comma 12 2 3" xfId="1559" xr:uid="{61739EDB-BB7F-446E-B2D7-D6A451CCCC94}"/>
    <cellStyle name="Comma 13" xfId="200" xr:uid="{00000000-0005-0000-0000-0000C2000000}"/>
    <cellStyle name="Comma 13 2" xfId="201" xr:uid="{00000000-0005-0000-0000-0000C3000000}"/>
    <cellStyle name="Comma 13 2 2" xfId="1835" xr:uid="{B22D88A1-55EC-4280-AF70-C93FDF7AA50D}"/>
    <cellStyle name="Comma 13 2 3" xfId="1836" xr:uid="{D04FF9CB-630B-4E60-9C28-6BC6F1FCDADB}"/>
    <cellStyle name="Comma 13 2 4" xfId="1834" xr:uid="{6D0A14C2-BA54-4CAD-823B-2AC2394A2FF7}"/>
    <cellStyle name="Comma 13 3" xfId="1837" xr:uid="{CCEE01A0-1868-470B-B3F8-C087DB0D57F4}"/>
    <cellStyle name="Comma 13 4" xfId="1838" xr:uid="{76E37B8C-233F-44B3-9E6A-DE34BD5DED1E}"/>
    <cellStyle name="Comma 13 5" xfId="1839" xr:uid="{B4E4B632-74F8-4565-B5A4-243C2BC84E10}"/>
    <cellStyle name="Comma 14" xfId="415" xr:uid="{00000000-0005-0000-0000-0000C4000000}"/>
    <cellStyle name="Comma 14 2" xfId="505" xr:uid="{00000000-0005-0000-0000-0000C5000000}"/>
    <cellStyle name="Comma 14 3" xfId="1063" xr:uid="{120F1EDE-5B54-444A-B089-59AD53407D03}"/>
    <cellStyle name="Comma 15" xfId="417" xr:uid="{00000000-0005-0000-0000-0000C6000000}"/>
    <cellStyle name="Comma 15 2" xfId="507" xr:uid="{00000000-0005-0000-0000-0000C7000000}"/>
    <cellStyle name="Comma 15 3" xfId="1062" xr:uid="{374112F9-9414-4758-9471-E96010319BA7}"/>
    <cellStyle name="Comma 16" xfId="419" xr:uid="{00000000-0005-0000-0000-0000C8000000}"/>
    <cellStyle name="Comma 16 2" xfId="509" xr:uid="{00000000-0005-0000-0000-0000C9000000}"/>
    <cellStyle name="Comma 16 3" xfId="1061" xr:uid="{CA949A36-3A60-41EA-A507-82C84A793F92}"/>
    <cellStyle name="Comma 17" xfId="526" xr:uid="{0EE6C15A-55B3-45AE-A4A8-ABC3C5FDD8B4}"/>
    <cellStyle name="Comma 17 2" xfId="1060" xr:uid="{1F5CDD1C-09C8-4944-9CFC-B83DCFBA2EBC}"/>
    <cellStyle name="Comma 18" xfId="562" xr:uid="{4FC135E8-36BB-4E15-8DAD-274D3CCA8E91}"/>
    <cellStyle name="Comma 18 2" xfId="1059" xr:uid="{4AA4E488-6342-42C3-9702-4EBA0E8E79D0}"/>
    <cellStyle name="Comma 19" xfId="561" xr:uid="{D58BCBA3-A529-458C-BCFF-87F5A919E2EC}"/>
    <cellStyle name="Comma 19 2" xfId="1058" xr:uid="{0132009E-28DE-4623-91F6-CF92B394FBFF}"/>
    <cellStyle name="Comma 2" xfId="4" xr:uid="{00000000-0005-0000-0000-0000CA000000}"/>
    <cellStyle name="Comma 2 10" xfId="545" xr:uid="{295A65E8-4B36-409C-A6E4-F7FB3212E060}"/>
    <cellStyle name="Comma 2 2" xfId="202" xr:uid="{00000000-0005-0000-0000-0000CB000000}"/>
    <cellStyle name="Comma 2 2 2" xfId="203" xr:uid="{00000000-0005-0000-0000-0000CC000000}"/>
    <cellStyle name="Comma 2 2 2 2" xfId="204" xr:uid="{00000000-0005-0000-0000-0000CD000000}"/>
    <cellStyle name="Comma 2 2 2 3" xfId="473" xr:uid="{00000000-0005-0000-0000-0000CE000000}"/>
    <cellStyle name="Comma 2 2 2 4" xfId="536" xr:uid="{416FC15B-D594-4867-804E-23E5A96AB4EC}"/>
    <cellStyle name="Comma 2 2 3" xfId="205" xr:uid="{00000000-0005-0000-0000-0000CF000000}"/>
    <cellStyle name="Comma 2 2 3 2" xfId="474" xr:uid="{00000000-0005-0000-0000-0000D0000000}"/>
    <cellStyle name="Comma 2 2 4" xfId="206" xr:uid="{00000000-0005-0000-0000-0000D1000000}"/>
    <cellStyle name="Comma 2 2 5" xfId="529" xr:uid="{A27888BE-6797-4CF9-BC88-9337E3605DA0}"/>
    <cellStyle name="Comma 2 2 6" xfId="641" xr:uid="{318F74C4-92AC-4353-9D85-5BDC144632F2}"/>
    <cellStyle name="Comma 2 3" xfId="26" xr:uid="{00000000-0005-0000-0000-0000D2000000}"/>
    <cellStyle name="Comma 2 3 2" xfId="25" xr:uid="{00000000-0005-0000-0000-0000D3000000}"/>
    <cellStyle name="Comma 2 3 3" xfId="42" xr:uid="{00000000-0005-0000-0000-0000D4000000}"/>
    <cellStyle name="Comma 2 3 4" xfId="554" xr:uid="{691928AF-A0F2-47AC-8424-97774F7EBB9E}"/>
    <cellStyle name="Comma 2 4" xfId="207" xr:uid="{00000000-0005-0000-0000-0000D5000000}"/>
    <cellStyle name="Comma 2 4 2" xfId="1099" xr:uid="{08166545-BC17-4567-9E31-54FABD4FCB1B}"/>
    <cellStyle name="Comma 2 5" xfId="208" xr:uid="{00000000-0005-0000-0000-0000D6000000}"/>
    <cellStyle name="Comma 2 5 2" xfId="209" xr:uid="{00000000-0005-0000-0000-0000D7000000}"/>
    <cellStyle name="Comma 2 6" xfId="210" xr:uid="{00000000-0005-0000-0000-0000D8000000}"/>
    <cellStyle name="Comma 2 6 2" xfId="475" xr:uid="{00000000-0005-0000-0000-0000D9000000}"/>
    <cellStyle name="Comma 2 7" xfId="211" xr:uid="{00000000-0005-0000-0000-0000DA000000}"/>
    <cellStyle name="Comma 2_TPIS Report_April_2013" xfId="212" xr:uid="{00000000-0005-0000-0000-0000DB000000}"/>
    <cellStyle name="Comma 20" xfId="564" xr:uid="{48EB8EFB-46EA-4173-A389-DEF10EE4838B}"/>
    <cellStyle name="Comma 20 2" xfId="1057" xr:uid="{9C2CF531-F4BD-4459-B585-CB9A35745010}"/>
    <cellStyle name="Comma 21" xfId="1056" xr:uid="{FF078A12-6B19-4EA9-9D38-3BF7E3860E7A}"/>
    <cellStyle name="Comma 22" xfId="1055" xr:uid="{3B7AA6FE-EE5F-4E3E-8849-9EDDCF447ACC}"/>
    <cellStyle name="Comma 23" xfId="1054" xr:uid="{8A3AE67A-2263-438F-A5AF-C38D0321D15E}"/>
    <cellStyle name="Comma 24" xfId="1053" xr:uid="{ADFAA4B8-2165-43A9-A1BF-3483735EBBD9}"/>
    <cellStyle name="Comma 25" xfId="1052" xr:uid="{6449616A-629A-4A91-832E-48A8608E5978}"/>
    <cellStyle name="Comma 26" xfId="1051" xr:uid="{2BA42F7B-58F5-4639-BE4E-2DA08798C9AD}"/>
    <cellStyle name="Comma 27" xfId="1050" xr:uid="{067F2656-47C2-4A6A-8B47-4F78C4510083}"/>
    <cellStyle name="Comma 28" xfId="1049" xr:uid="{ACB10E77-0467-4049-BA76-2D3E8E278F09}"/>
    <cellStyle name="Comma 29" xfId="1048" xr:uid="{6190BE1A-12FF-4A95-8EFE-125FADAAC296}"/>
    <cellStyle name="Comma 3" xfId="21" xr:uid="{00000000-0005-0000-0000-0000DC000000}"/>
    <cellStyle name="Comma 3 2" xfId="213" xr:uid="{00000000-0005-0000-0000-0000DD000000}"/>
    <cellStyle name="Comma 3 2 2" xfId="214" xr:uid="{00000000-0005-0000-0000-0000DE000000}"/>
    <cellStyle name="Comma 3 2 2 2" xfId="1105" xr:uid="{DC3EC1DA-F11E-4C90-BBD1-CBE4B9BA0608}"/>
    <cellStyle name="Comma 3 2 2 2 2" xfId="1229" xr:uid="{F3987312-EFB2-4901-8F82-30EE7DA3A7DD}"/>
    <cellStyle name="Comma 3 2 2 2 2 2" xfId="1455" xr:uid="{D724EE45-6E62-40B3-A70E-62129FE084A0}"/>
    <cellStyle name="Comma 3 2 2 2 2 2 2" xfId="10189" xr:uid="{D0AE9AEE-B1D6-45F9-900E-9584A89ED14B}"/>
    <cellStyle name="Comma 3 2 2 2 2 3" xfId="9973" xr:uid="{0C2AAFEC-72A0-4909-9F0A-453D2A715D81}"/>
    <cellStyle name="Comma 3 2 2 2 3" xfId="1311" xr:uid="{A2B611EA-DE7D-4494-A232-DC8A00B33D2D}"/>
    <cellStyle name="Comma 3 2 2 2 3 2" xfId="1527" xr:uid="{5283D1B7-CC9C-4331-8448-021870C18F11}"/>
    <cellStyle name="Comma 3 2 2 2 3 2 2" xfId="10261" xr:uid="{9EC0409E-9F62-464B-9ED0-32DC1197DA9C}"/>
    <cellStyle name="Comma 3 2 2 2 3 3" xfId="10045" xr:uid="{E2064240-6D24-47C7-AD12-4B44AA949750}"/>
    <cellStyle name="Comma 3 2 2 2 4" xfId="1383" xr:uid="{82207201-BFA1-40EB-A08C-E9C3E90C7B7C}"/>
    <cellStyle name="Comma 3 2 2 2 4 2" xfId="10117" xr:uid="{4F9CCA72-C728-4CB0-AFF6-02BDD9EA1712}"/>
    <cellStyle name="Comma 3 2 2 2 5" xfId="9901" xr:uid="{BBA1CF26-6CC8-4051-BB36-5F6298D42DDE}"/>
    <cellStyle name="Comma 3 2 2 3" xfId="1128" xr:uid="{2EA58C55-7E09-4561-88ED-409A89A9ED4F}"/>
    <cellStyle name="Comma 3 2 2 3 2" xfId="1235" xr:uid="{C27390D3-2FBA-4032-9915-A99821164904}"/>
    <cellStyle name="Comma 3 2 2 3 2 2" xfId="1461" xr:uid="{9BDB6C40-EDA5-41A2-805C-ECFFB227A8D4}"/>
    <cellStyle name="Comma 3 2 2 3 2 2 2" xfId="10195" xr:uid="{6CDC5D89-855D-4A14-A04C-E521D258E46D}"/>
    <cellStyle name="Comma 3 2 2 3 2 3" xfId="9979" xr:uid="{C7C6C1D9-A41B-4491-AFD4-BB798B1761FE}"/>
    <cellStyle name="Comma 3 2 2 3 3" xfId="1317" xr:uid="{C7748141-F116-4BE2-A8E2-D19C314943EA}"/>
    <cellStyle name="Comma 3 2 2 3 3 2" xfId="1533" xr:uid="{A162C881-CB03-4DDA-B13B-F87626F925E5}"/>
    <cellStyle name="Comma 3 2 2 3 3 2 2" xfId="10267" xr:uid="{B58DD666-263A-4FED-9EA9-A265BAB1BDE0}"/>
    <cellStyle name="Comma 3 2 2 3 3 3" xfId="10051" xr:uid="{44B1164F-8487-4415-9525-7B961E02809A}"/>
    <cellStyle name="Comma 3 2 2 3 4" xfId="1389" xr:uid="{52F500AA-F8F8-41FA-AC80-DECC27D446E4}"/>
    <cellStyle name="Comma 3 2 2 3 4 2" xfId="10123" xr:uid="{8D69CCBB-B46A-49AA-9A32-E03D8A47B8B8}"/>
    <cellStyle name="Comma 3 2 2 3 5" xfId="9907" xr:uid="{DFC40FC4-F82C-4A4B-9297-D47B1DAA64B9}"/>
    <cellStyle name="Comma 3 2 2 4" xfId="1164" xr:uid="{E8F8BB97-688C-4054-9AB9-A61A4ECE157F}"/>
    <cellStyle name="Comma 3 2 2 4 2" xfId="1264" xr:uid="{809DBBF2-18F9-4DC7-AE2D-0301B6D636FE}"/>
    <cellStyle name="Comma 3 2 2 4 2 2" xfId="1480" xr:uid="{082E86CB-4DC0-4E4D-A824-7B9FE72DE2FC}"/>
    <cellStyle name="Comma 3 2 2 4 2 2 2" xfId="10214" xr:uid="{680D169C-F925-4B8C-996F-569B728E3F6C}"/>
    <cellStyle name="Comma 3 2 2 4 2 3" xfId="9998" xr:uid="{DA03AC9D-B53B-459E-9EA3-0B87E0780751}"/>
    <cellStyle name="Comma 3 2 2 4 3" xfId="1336" xr:uid="{FB320D77-A77A-483A-B1A7-18CA5730CE0B}"/>
    <cellStyle name="Comma 3 2 2 4 3 2" xfId="1552" xr:uid="{C8740A04-514D-429A-8773-A6B55C9D9E07}"/>
    <cellStyle name="Comma 3 2 2 4 3 2 2" xfId="10286" xr:uid="{E534059B-4021-47B1-A729-75A3FA8B9DA5}"/>
    <cellStyle name="Comma 3 2 2 4 3 3" xfId="10070" xr:uid="{9146B674-0334-4148-8F74-E8F657CF9E60}"/>
    <cellStyle name="Comma 3 2 2 4 4" xfId="1408" xr:uid="{77215424-E8B2-4FE6-9BE9-B150E610CE3E}"/>
    <cellStyle name="Comma 3 2 2 4 4 2" xfId="10142" xr:uid="{B0419612-9F9A-4736-82EA-9BDB7D2B61E0}"/>
    <cellStyle name="Comma 3 2 2 4 5" xfId="9926" xr:uid="{1DA164B5-ED6A-436E-8936-C6AC1A999B6F}"/>
    <cellStyle name="Comma 3 2 2 5" xfId="1228" xr:uid="{0B2A1B3E-0FD9-4A56-A13B-4FC65F58A2B8}"/>
    <cellStyle name="Comma 3 2 2 5 2" xfId="1454" xr:uid="{64590D27-11B0-4FE0-98F5-987CAD25E919}"/>
    <cellStyle name="Comma 3 2 2 5 2 2" xfId="10188" xr:uid="{FF7B50B7-97F8-4EA1-888C-6765C97248CD}"/>
    <cellStyle name="Comma 3 2 2 5 3" xfId="9972" xr:uid="{0C333050-CA07-4C8C-82B6-11065587A24C}"/>
    <cellStyle name="Comma 3 2 2 6" xfId="1310" xr:uid="{36762007-3103-4912-824A-5CDFD75E9D08}"/>
    <cellStyle name="Comma 3 2 2 6 2" xfId="1526" xr:uid="{5EF044B3-2F9A-41CA-A805-449EFBB94987}"/>
    <cellStyle name="Comma 3 2 2 6 2 2" xfId="10260" xr:uid="{68B63227-748C-417F-A8B1-5174BD81D0D2}"/>
    <cellStyle name="Comma 3 2 2 6 3" xfId="10044" xr:uid="{D176F31A-14F6-4B01-9E73-E61B51712491}"/>
    <cellStyle name="Comma 3 2 2 7" xfId="1382" xr:uid="{FD3129B4-A778-4779-A6C6-0559A781C9CD}"/>
    <cellStyle name="Comma 3 2 2 7 2" xfId="10116" xr:uid="{7F1BC2B7-8D03-4EFA-9062-2EF197FAFAFD}"/>
    <cellStyle name="Comma 3 2 2 8" xfId="9900" xr:uid="{8B6E7ECD-4374-4422-90E5-63B60B6B5D37}"/>
    <cellStyle name="Comma 3 2 2 9" xfId="1047" xr:uid="{C707F685-979D-4421-BAE1-410036A5ACCF}"/>
    <cellStyle name="Comma 3 2 3" xfId="215" xr:uid="{00000000-0005-0000-0000-0000DF000000}"/>
    <cellStyle name="Comma 3 3" xfId="27" xr:uid="{00000000-0005-0000-0000-0000E0000000}"/>
    <cellStyle name="Comma 3 4" xfId="216" xr:uid="{00000000-0005-0000-0000-0000E1000000}"/>
    <cellStyle name="Comma 3 4 2" xfId="1094" xr:uid="{E6A013A9-D268-4B39-8D40-EEBEAEA2C8D5}"/>
    <cellStyle name="Comma 3 5" xfId="532" xr:uid="{9D448A91-2A0B-40C3-A0FC-8D47D3E0D3AC}"/>
    <cellStyle name="Comma 3 5 2" xfId="1243" xr:uid="{A5898369-21F5-4AA5-B6B6-5A02E48A94AF}"/>
    <cellStyle name="Comma 3 5 3" xfId="1139" xr:uid="{8E30E9B1-DAE3-45C0-9179-A2FC13472624}"/>
    <cellStyle name="Comma 30" xfId="1046" xr:uid="{1B6A6588-3B1D-4718-B9E4-63A12E3ADC85}"/>
    <cellStyle name="Comma 31" xfId="1045" xr:uid="{5C8E4102-D8A6-4F92-BFBC-7FD12F1F197A}"/>
    <cellStyle name="Comma 32" xfId="1044" xr:uid="{75304ABD-0EC2-43DC-B555-7B366DB253BA}"/>
    <cellStyle name="Comma 33" xfId="1043" xr:uid="{7201B76B-7B6F-447D-A874-4611FD45F640}"/>
    <cellStyle name="Comma 34" xfId="1042" xr:uid="{CA7F694A-3DCC-4A93-8B0E-712D5234BE21}"/>
    <cellStyle name="Comma 35" xfId="1041" xr:uid="{FC658186-D703-4C30-BA2D-03E41C27062E}"/>
    <cellStyle name="Comma 36" xfId="1040" xr:uid="{F1FB397C-94CD-42A2-8A07-F13A3BA04C1A}"/>
    <cellStyle name="Comma 37" xfId="1039" xr:uid="{C480A9A6-CB0F-4083-9CB1-C13F8639F60F}"/>
    <cellStyle name="Comma 38" xfId="1038" xr:uid="{B9A078FA-ED6B-414E-A0AC-46C921F012AF}"/>
    <cellStyle name="Comma 39" xfId="1037" xr:uid="{EFCAA18D-2CC7-4FBF-B13D-C2F174379F32}"/>
    <cellStyle name="Comma 4" xfId="23" xr:uid="{00000000-0005-0000-0000-0000E2000000}"/>
    <cellStyle name="Comma 4 2" xfId="217" xr:uid="{00000000-0005-0000-0000-0000E3000000}"/>
    <cellStyle name="Comma 4 2 2" xfId="218" xr:uid="{00000000-0005-0000-0000-0000E4000000}"/>
    <cellStyle name="Comma 4 2 3" xfId="553" xr:uid="{ED3F7AF0-F050-41E8-B1C2-F62506754DC4}"/>
    <cellStyle name="Comma 4 2 4" xfId="1036" xr:uid="{FA2D40E3-CDE5-4661-86AC-1A8B2CB37511}"/>
    <cellStyle name="Comma 4 3" xfId="219" xr:uid="{00000000-0005-0000-0000-0000E5000000}"/>
    <cellStyle name="Comma 4 3 2" xfId="1108" xr:uid="{EC718F0C-2350-4EC0-853D-A6A22739BDC6}"/>
    <cellStyle name="Comma 4 3 2 2" xfId="1230" xr:uid="{6C9EDE95-6620-48A0-8406-F2EDE839BEEA}"/>
    <cellStyle name="Comma 4 3 2 2 2" xfId="1456" xr:uid="{E5F0245C-F653-423E-9DD3-68B90859FB4D}"/>
    <cellStyle name="Comma 4 3 2 2 2 2" xfId="10190" xr:uid="{078A1A19-D2C7-4021-BD96-68DEFEEB3B2B}"/>
    <cellStyle name="Comma 4 3 2 2 3" xfId="9974" xr:uid="{6CD4F0DF-4E23-4CF1-B158-BC540E0C6386}"/>
    <cellStyle name="Comma 4 3 2 3" xfId="1312" xr:uid="{8DE7F4FC-B442-4ABC-9B51-D7FB98E62D47}"/>
    <cellStyle name="Comma 4 3 2 3 2" xfId="1528" xr:uid="{161ACF20-D06A-4E6F-9CBA-7CA20DAB7D78}"/>
    <cellStyle name="Comma 4 3 2 3 2 2" xfId="10262" xr:uid="{43F7B534-5A7F-4921-86A8-2DF3FC2F0DD3}"/>
    <cellStyle name="Comma 4 3 2 3 3" xfId="10046" xr:uid="{5831DE8F-2A41-4C18-B524-E3ABF4E6AA82}"/>
    <cellStyle name="Comma 4 3 2 4" xfId="1384" xr:uid="{08A29A3B-E54B-47A6-9197-B65F60780A6A}"/>
    <cellStyle name="Comma 4 3 2 4 2" xfId="10118" xr:uid="{4E51BF31-8537-4BB6-B4C0-8020D8940248}"/>
    <cellStyle name="Comma 4 3 2 5" xfId="9902" xr:uid="{D11B3CB9-58AE-4B26-9129-417DA967FCDD}"/>
    <cellStyle name="Comma 4 3 3" xfId="1129" xr:uid="{7E4D2F6C-7AB7-4BE7-9F1E-6A50E152504D}"/>
    <cellStyle name="Comma 4 3 3 2" xfId="1236" xr:uid="{97D8B8FB-44EB-4244-A122-CE72D7CDA8C2}"/>
    <cellStyle name="Comma 4 3 3 2 2" xfId="1462" xr:uid="{A22EFE92-8789-4C1A-9D69-A2251C18D6F0}"/>
    <cellStyle name="Comma 4 3 3 2 2 2" xfId="10196" xr:uid="{7A6E6EFE-CF63-4AAA-A712-AA1C9BF1EBD4}"/>
    <cellStyle name="Comma 4 3 3 2 3" xfId="9980" xr:uid="{F8457857-5EFF-474B-B798-30689388C05E}"/>
    <cellStyle name="Comma 4 3 3 3" xfId="1318" xr:uid="{1768F777-8D1D-4538-B7D4-7A54C0AB42AA}"/>
    <cellStyle name="Comma 4 3 3 3 2" xfId="1534" xr:uid="{2B9DBDE2-44B5-4A29-9FA6-63629BA0E9FE}"/>
    <cellStyle name="Comma 4 3 3 3 2 2" xfId="10268" xr:uid="{2A378B0E-DBCF-4D61-8839-1418C34989FD}"/>
    <cellStyle name="Comma 4 3 3 3 3" xfId="10052" xr:uid="{602A57DF-9B24-45E1-AC98-DDC5879285B4}"/>
    <cellStyle name="Comma 4 3 3 4" xfId="1390" xr:uid="{9487B0E0-A952-4C5C-AE64-6376DFBF65FE}"/>
    <cellStyle name="Comma 4 3 3 4 2" xfId="10124" xr:uid="{9542F101-8C22-4B9B-9AC1-769189323F86}"/>
    <cellStyle name="Comma 4 3 3 5" xfId="9908" xr:uid="{19FD1C85-A523-4952-B09C-6EB65BEDC736}"/>
    <cellStyle name="Comma 4 3 4" xfId="1167" xr:uid="{5164255A-C7B2-4D4B-82EB-BE78041D8E85}"/>
    <cellStyle name="Comma 4 3 4 2" xfId="1265" xr:uid="{2F738C99-59B6-482B-B3DC-CFD61AEA7F19}"/>
    <cellStyle name="Comma 4 3 4 2 2" xfId="1481" xr:uid="{E98F05D7-2BF2-4524-ACB3-5BA74C2C8009}"/>
    <cellStyle name="Comma 4 3 4 2 2 2" xfId="10215" xr:uid="{15B49580-80E1-4DEA-B09D-6D6CED51F795}"/>
    <cellStyle name="Comma 4 3 4 2 3" xfId="9999" xr:uid="{5C7E55F1-60C2-40D1-A6B4-E18F7D1BAAF6}"/>
    <cellStyle name="Comma 4 3 4 3" xfId="1337" xr:uid="{0890E0E0-56A9-4229-AB56-95244ECCDEED}"/>
    <cellStyle name="Comma 4 3 4 3 2" xfId="1553" xr:uid="{D01CF7E0-59E7-4853-9EAC-E8E52F687CEA}"/>
    <cellStyle name="Comma 4 3 4 3 2 2" xfId="10287" xr:uid="{92666BA5-699B-4C53-9301-A73686824639}"/>
    <cellStyle name="Comma 4 3 4 3 3" xfId="10071" xr:uid="{4F820AF4-C2C2-4EC8-A8CF-3F8B86995E1B}"/>
    <cellStyle name="Comma 4 3 4 4" xfId="1409" xr:uid="{5619BBA9-2E3D-45D7-8F9E-B08EF7C9B380}"/>
    <cellStyle name="Comma 4 3 4 4 2" xfId="10143" xr:uid="{914022CE-C0E8-4DE5-A66B-01581E4BE8D8}"/>
    <cellStyle name="Comma 4 3 4 5" xfId="9927" xr:uid="{42E6FB74-7A40-4474-8821-E175F146EB8A}"/>
    <cellStyle name="Comma 4 3 5" xfId="1227" xr:uid="{9B134DD9-8930-4362-A065-F5E62FFEE02D}"/>
    <cellStyle name="Comma 4 3 5 2" xfId="1453" xr:uid="{4571931B-6589-4465-B408-0C7836CD244F}"/>
    <cellStyle name="Comma 4 3 5 2 2" xfId="10187" xr:uid="{12D8DBB2-7520-4FA3-9166-5C18331FB305}"/>
    <cellStyle name="Comma 4 3 5 3" xfId="9971" xr:uid="{A5D7821D-6E97-49C7-8274-B381E3FCBC02}"/>
    <cellStyle name="Comma 4 3 6" xfId="1309" xr:uid="{787CEC63-93B1-4C7A-B601-EAA58578BB54}"/>
    <cellStyle name="Comma 4 3 6 2" xfId="1525" xr:uid="{BF892CBD-404C-4CE8-9FF3-4A3C0949C705}"/>
    <cellStyle name="Comma 4 3 6 2 2" xfId="10259" xr:uid="{802B5C01-9BE1-430F-B6B5-BD949432A674}"/>
    <cellStyle name="Comma 4 3 6 3" xfId="10043" xr:uid="{77D9CF94-DA4C-40B9-AFF5-CA1A8266A0F0}"/>
    <cellStyle name="Comma 4 3 7" xfId="1381" xr:uid="{D2C2A620-87C7-48F0-B32C-B55B65784B4A}"/>
    <cellStyle name="Comma 4 3 7 2" xfId="10115" xr:uid="{FB08E8BF-973A-4A94-8B08-D7DF8C8A2145}"/>
    <cellStyle name="Comma 4 3 8" xfId="9899" xr:uid="{33E11296-9914-4B7E-AE13-CD48E59EEC50}"/>
    <cellStyle name="Comma 4 3 9" xfId="1035" xr:uid="{BE51CF06-A070-427F-9F67-6FC3D146FF2B}"/>
    <cellStyle name="Comma 4 4" xfId="220" xr:uid="{00000000-0005-0000-0000-0000E6000000}"/>
    <cellStyle name="Comma 4 4 2" xfId="1840" xr:uid="{73D69EF9-B41D-40EC-A29B-DAF70928BEE3}"/>
    <cellStyle name="Comma 4 5" xfId="548" xr:uid="{84F30EEE-09E8-4BED-A999-EDDAB2A456D4}"/>
    <cellStyle name="Comma 40" xfId="1034" xr:uid="{CD1703E8-D4D6-4E4E-A4B0-FB0475616EE5}"/>
    <cellStyle name="Comma 41" xfId="1033" xr:uid="{32C5B214-C1B8-4245-8157-C38BCE96DF7E}"/>
    <cellStyle name="Comma 42" xfId="1032" xr:uid="{BA9BE634-22B8-4BC1-8EDE-77F4B871FFCB}"/>
    <cellStyle name="Comma 43" xfId="1031" xr:uid="{EF55F715-7071-413A-A530-697AA417F169}"/>
    <cellStyle name="Comma 44" xfId="1030" xr:uid="{D5E250BD-6403-4D21-9C4C-971709CDCBF1}"/>
    <cellStyle name="Comma 45" xfId="1029" xr:uid="{9A29546A-6039-4014-A89A-3CAFDB963B62}"/>
    <cellStyle name="Comma 46" xfId="1028" xr:uid="{77514414-0B43-4A40-ACBF-2BEF3691AD8B}"/>
    <cellStyle name="Comma 47" xfId="1027" xr:uid="{B913829A-4214-438A-9687-68B8A6861271}"/>
    <cellStyle name="Comma 48" xfId="1026" xr:uid="{65868DF2-5144-48D5-9CAD-BC72DC08B207}"/>
    <cellStyle name="Comma 49" xfId="1025" xr:uid="{1D9E75DD-8D2E-433B-91CC-150FBA1B5B6B}"/>
    <cellStyle name="Comma 5" xfId="32" xr:uid="{00000000-0005-0000-0000-0000E7000000}"/>
    <cellStyle name="Comma 5 10" xfId="433" xr:uid="{00000000-0005-0000-0000-0000E8000000}"/>
    <cellStyle name="Comma 5 10 2" xfId="518" xr:uid="{00000000-0005-0000-0000-0000E9000000}"/>
    <cellStyle name="Comma 5 11" xfId="440" xr:uid="{00000000-0005-0000-0000-0000EA000000}"/>
    <cellStyle name="Comma 5 2" xfId="221" xr:uid="{00000000-0005-0000-0000-0000EB000000}"/>
    <cellStyle name="Comma 5 2 2" xfId="222" xr:uid="{00000000-0005-0000-0000-0000EC000000}"/>
    <cellStyle name="Comma 5 2 3" xfId="223" xr:uid="{00000000-0005-0000-0000-0000ED000000}"/>
    <cellStyle name="Comma 5 2 3 2" xfId="224" xr:uid="{00000000-0005-0000-0000-0000EE000000}"/>
    <cellStyle name="Comma 5 2 4" xfId="225" xr:uid="{00000000-0005-0000-0000-0000EF000000}"/>
    <cellStyle name="Comma 5 2 4 2" xfId="476" xr:uid="{00000000-0005-0000-0000-0000F0000000}"/>
    <cellStyle name="Comma 5 2 5" xfId="226" xr:uid="{00000000-0005-0000-0000-0000F1000000}"/>
    <cellStyle name="Comma 5 2 6" xfId="1841" xr:uid="{C0BBC91F-163E-4B21-ABC0-AA0AB4DDC325}"/>
    <cellStyle name="Comma 5 3" xfId="227" xr:uid="{00000000-0005-0000-0000-0000F2000000}"/>
    <cellStyle name="Comma 5 3 2" xfId="228" xr:uid="{00000000-0005-0000-0000-0000F3000000}"/>
    <cellStyle name="Comma 5 3 2 2" xfId="229" xr:uid="{00000000-0005-0000-0000-0000F4000000}"/>
    <cellStyle name="Comma 5 3 2 3" xfId="477" xr:uid="{00000000-0005-0000-0000-0000F5000000}"/>
    <cellStyle name="Comma 5 3 3" xfId="230" xr:uid="{00000000-0005-0000-0000-0000F6000000}"/>
    <cellStyle name="Comma 5 3 3 2" xfId="478" xr:uid="{00000000-0005-0000-0000-0000F7000000}"/>
    <cellStyle name="Comma 5 3 4" xfId="231" xr:uid="{00000000-0005-0000-0000-0000F8000000}"/>
    <cellStyle name="Comma 5 3 5" xfId="1842" xr:uid="{2358EEA5-2F96-427B-8300-E45F5E3511AB}"/>
    <cellStyle name="Comma 5 4" xfId="232" xr:uid="{00000000-0005-0000-0000-0000F9000000}"/>
    <cellStyle name="Comma 5 4 2" xfId="1843" xr:uid="{A1493437-74D4-48D9-8CE0-0FE504E03B2C}"/>
    <cellStyle name="Comma 5 5" xfId="233" xr:uid="{00000000-0005-0000-0000-0000FA000000}"/>
    <cellStyle name="Comma 5 5 2" xfId="234" xr:uid="{00000000-0005-0000-0000-0000FB000000}"/>
    <cellStyle name="Comma 5 5 3" xfId="479" xr:uid="{00000000-0005-0000-0000-0000FC000000}"/>
    <cellStyle name="Comma 5 6" xfId="235" xr:uid="{00000000-0005-0000-0000-0000FD000000}"/>
    <cellStyle name="Comma 5 6 2" xfId="480" xr:uid="{00000000-0005-0000-0000-0000FE000000}"/>
    <cellStyle name="Comma 5 7" xfId="236" xr:uid="{00000000-0005-0000-0000-0000FF000000}"/>
    <cellStyle name="Comma 5 8" xfId="411" xr:uid="{00000000-0005-0000-0000-000000010000}"/>
    <cellStyle name="Comma 5 8 2" xfId="501" xr:uid="{00000000-0005-0000-0000-000001010000}"/>
    <cellStyle name="Comma 5 9" xfId="427" xr:uid="{00000000-0005-0000-0000-000002010000}"/>
    <cellStyle name="Comma 5 9 2" xfId="513" xr:uid="{00000000-0005-0000-0000-000003010000}"/>
    <cellStyle name="Comma 50" xfId="1024" xr:uid="{89B383C4-9EA3-4505-9834-FC94837043A3}"/>
    <cellStyle name="Comma 51" xfId="1023" xr:uid="{D2B6CE3D-886E-4D08-BF95-9909DEF4447B}"/>
    <cellStyle name="Comma 52" xfId="1022" xr:uid="{2E2E3D1E-BC0F-4B89-ABD7-014B9965808F}"/>
    <cellStyle name="Comma 53" xfId="1021" xr:uid="{606E6AF5-73FB-400E-87C6-EC22E20E9FF7}"/>
    <cellStyle name="Comma 54" xfId="1020" xr:uid="{FA190B73-BDD4-43FB-A4BE-06C0A05E9A94}"/>
    <cellStyle name="Comma 55" xfId="1019" xr:uid="{6AF1DCC1-A2DF-40A7-A56E-822FD24834AA}"/>
    <cellStyle name="Comma 56" xfId="1018" xr:uid="{28A10BE7-65BB-4300-A5D6-BB5E6900480C}"/>
    <cellStyle name="Comma 57" xfId="1017" xr:uid="{F83DF686-C4E2-43D6-A36B-CE92E5212F87}"/>
    <cellStyle name="Comma 58" xfId="1016" xr:uid="{52F0137F-2D9C-44ED-A42A-0C82D75BA062}"/>
    <cellStyle name="Comma 59" xfId="1015" xr:uid="{477CEE4E-B000-409C-9151-3C3CE1779C98}"/>
    <cellStyle name="Comma 6" xfId="34" xr:uid="{00000000-0005-0000-0000-000004010000}"/>
    <cellStyle name="Comma 6 2" xfId="237" xr:uid="{00000000-0005-0000-0000-000005010000}"/>
    <cellStyle name="Comma 6 3" xfId="413" xr:uid="{00000000-0005-0000-0000-000006010000}"/>
    <cellStyle name="Comma 6 3 2" xfId="503" xr:uid="{00000000-0005-0000-0000-000007010000}"/>
    <cellStyle name="Comma 6 3 3" xfId="1113" xr:uid="{741E3FDD-4D9C-427C-81E4-420B2D5CADED}"/>
    <cellStyle name="Comma 6 4" xfId="429" xr:uid="{00000000-0005-0000-0000-000008010000}"/>
    <cellStyle name="Comma 6 4 2" xfId="515" xr:uid="{00000000-0005-0000-0000-000009010000}"/>
    <cellStyle name="Comma 6 5" xfId="435" xr:uid="{00000000-0005-0000-0000-00000A010000}"/>
    <cellStyle name="Comma 6 5 2" xfId="520" xr:uid="{00000000-0005-0000-0000-00000B010000}"/>
    <cellStyle name="Comma 6 6" xfId="442" xr:uid="{00000000-0005-0000-0000-00000C010000}"/>
    <cellStyle name="Comma 60" xfId="1014" xr:uid="{2D1F24B4-0B23-4636-A5E6-0E5BAD6A8152}"/>
    <cellStyle name="Comma 61" xfId="1013" xr:uid="{2B18D9F6-74DA-435E-8C38-6E966C331A18}"/>
    <cellStyle name="Comma 62" xfId="1012" xr:uid="{979CD73E-D57E-41D1-888D-CE69E8BE423A}"/>
    <cellStyle name="Comma 63" xfId="1011" xr:uid="{F245695C-9217-47F2-A459-BC6237B41DF9}"/>
    <cellStyle name="Comma 64" xfId="1010" xr:uid="{DB97702B-3A3D-43A3-8F73-F6BDFC3E2730}"/>
    <cellStyle name="Comma 65" xfId="1009" xr:uid="{32734306-AFFC-4657-9BDB-A9D72A1FFB32}"/>
    <cellStyle name="Comma 66" xfId="1008" xr:uid="{456C8FC0-6C15-4372-BABF-AB88CC0CF64E}"/>
    <cellStyle name="Comma 67" xfId="1007" xr:uid="{953735CC-4855-4116-BA30-FE238C437617}"/>
    <cellStyle name="Comma 68" xfId="1006" xr:uid="{C5D71930-BFED-4349-8DF3-8D4E2CEE93D0}"/>
    <cellStyle name="Comma 69" xfId="1005" xr:uid="{49BACEFF-4E60-45B0-807C-CAE70816AB7F}"/>
    <cellStyle name="Comma 7" xfId="43" xr:uid="{00000000-0005-0000-0000-00000D010000}"/>
    <cellStyle name="Comma 7 2" xfId="238" xr:uid="{00000000-0005-0000-0000-00000E010000}"/>
    <cellStyle name="Comma 7 2 2" xfId="1844" xr:uid="{EB2646E5-0744-4BE8-B261-B431621DFCE1}"/>
    <cellStyle name="Comma 7 3" xfId="239" xr:uid="{00000000-0005-0000-0000-00000F010000}"/>
    <cellStyle name="Comma 7 3 2" xfId="240" xr:uid="{00000000-0005-0000-0000-000010010000}"/>
    <cellStyle name="Comma 7 4" xfId="444" xr:uid="{00000000-0005-0000-0000-000011010000}"/>
    <cellStyle name="Comma 70" xfId="1004" xr:uid="{30B21570-F4CB-4F72-9188-29D6923DD9B4}"/>
    <cellStyle name="Comma 71" xfId="1003" xr:uid="{FD64B81F-F80A-44E4-AF3E-C6E0ACD9BEAF}"/>
    <cellStyle name="Comma 72" xfId="1002" xr:uid="{61F4CA1E-C62E-449F-82DC-55FB458FCC13}"/>
    <cellStyle name="Comma 73" xfId="1001" xr:uid="{882500F9-37C8-4EE4-95AB-4016AFDA39F8}"/>
    <cellStyle name="Comma 74" xfId="1000" xr:uid="{79872398-5B8D-42C8-896B-80F514AC7EB5}"/>
    <cellStyle name="Comma 75" xfId="999" xr:uid="{F42AD27F-9576-42A7-9B5A-F99E28FB6555}"/>
    <cellStyle name="Comma 76" xfId="998" xr:uid="{57D912A5-87E9-4A27-950E-D50A6EBAAE26}"/>
    <cellStyle name="Comma 77" xfId="997" xr:uid="{AF2FE985-42C4-406C-B3E5-35274C75FE6A}"/>
    <cellStyle name="Comma 78" xfId="996" xr:uid="{D20DEF49-BC40-42FB-8123-E647F0D305E8}"/>
    <cellStyle name="Comma 79" xfId="995" xr:uid="{32210175-56F5-4C16-88A3-380ACD7F96A0}"/>
    <cellStyle name="Comma 8" xfId="241" xr:uid="{00000000-0005-0000-0000-000012010000}"/>
    <cellStyle name="Comma 8 2" xfId="643" xr:uid="{EB2CDA5B-BDE0-42AA-947C-F2EF6B79BB4C}"/>
    <cellStyle name="Comma 8 2 2" xfId="885" xr:uid="{48EF0591-BF6B-4E37-B78F-804261984E08}"/>
    <cellStyle name="Comma 8 3" xfId="1114" xr:uid="{5D415904-2ADA-4C67-A8DC-1600705C9691}"/>
    <cellStyle name="Comma 8 4" xfId="642" xr:uid="{FFA7F428-0585-4093-BF57-44B6FA0D10A0}"/>
    <cellStyle name="Comma 80" xfId="994" xr:uid="{CD52E0CB-3B25-4F51-B086-4B17DA489314}"/>
    <cellStyle name="Comma 81" xfId="993" xr:uid="{579B6FC6-2B3B-4D67-A8A9-5A72884E0724}"/>
    <cellStyle name="Comma 82" xfId="992" xr:uid="{E4C9C78D-DCED-4DFF-A558-3747149AA312}"/>
    <cellStyle name="Comma 83" xfId="991" xr:uid="{412E9202-5A8B-4828-9F89-D5CE5C2C3442}"/>
    <cellStyle name="Comma 84" xfId="1138" xr:uid="{02F054ED-261E-4FA2-84F6-80BD8849B418}"/>
    <cellStyle name="Comma 84 2" xfId="1242" xr:uid="{E40BA40E-B64C-4FAA-B9AD-9900D18DE07C}"/>
    <cellStyle name="Comma 85" xfId="1143" xr:uid="{6470F358-8F1C-4BE9-8D4C-A687986F0C14}"/>
    <cellStyle name="Comma 85 2" xfId="1247" xr:uid="{D9A160E4-4F0E-4E09-A06B-C6642E86773C}"/>
    <cellStyle name="Comma 86" xfId="10334" xr:uid="{E343D770-AF91-4470-A2E6-7E8FF9D05640}"/>
    <cellStyle name="Comma 87" xfId="10336" xr:uid="{7B5589C1-4FA8-4A8E-B5E6-28BC76ED0546}"/>
    <cellStyle name="Comma 9" xfId="242" xr:uid="{00000000-0005-0000-0000-000013010000}"/>
    <cellStyle name="Comma 9 2" xfId="243" xr:uid="{00000000-0005-0000-0000-000014010000}"/>
    <cellStyle name="Comma 9 2 2" xfId="887" xr:uid="{92ACCAAC-A73D-4223-95DA-9EA0619772C0}"/>
    <cellStyle name="Comma 9 3" xfId="1115" xr:uid="{8C88FE5D-14B5-42E4-A7FF-9EDB7ECB88DE}"/>
    <cellStyle name="Comma 9 4" xfId="644" xr:uid="{8EA62A73-A152-45D8-B5AB-3040C8427AA6}"/>
    <cellStyle name="Comma Input" xfId="645" xr:uid="{C9604F38-A103-4BF5-A105-97F3B71BD289}"/>
    <cellStyle name="Comma0" xfId="244" xr:uid="{00000000-0005-0000-0000-000015010000}"/>
    <cellStyle name="Comma0 2" xfId="1845" xr:uid="{49505346-088E-4468-A632-1911E3634BF7}"/>
    <cellStyle name="Comma0 3" xfId="646" xr:uid="{AA6FEFCC-D858-41CB-A7BE-858D849E2E58}"/>
    <cellStyle name="Company Name" xfId="647" xr:uid="{069F833E-5388-4E52-AADC-311155FAE861}"/>
    <cellStyle name="Config Data" xfId="5" xr:uid="{00000000-0005-0000-0000-000016010000}"/>
    <cellStyle name="Currency" xfId="6" builtinId="4"/>
    <cellStyle name="Currency [1]" xfId="648" xr:uid="{06DAF5F7-D623-44AD-B2D7-61D902570054}"/>
    <cellStyle name="Currency [2]" xfId="649" xr:uid="{C94BF2EC-3FE8-46F1-BCAD-B6B9DF78DC6A}"/>
    <cellStyle name="Currency [3]" xfId="650" xr:uid="{360DF372-5686-4C3A-8E9E-C44D07350E17}"/>
    <cellStyle name="Currency 0.0" xfId="651" xr:uid="{16AAD233-0EE4-4A59-816B-4C024BC1B432}"/>
    <cellStyle name="Currency 0.00" xfId="652" xr:uid="{535F2ADC-7DBA-4931-9890-AC969F675AB7}"/>
    <cellStyle name="Currency 0.000" xfId="653" xr:uid="{9F36BA85-3FB7-4E84-801B-0E9601D40121}"/>
    <cellStyle name="Currency 0.0000" xfId="654" xr:uid="{2D217DFF-69BD-4D9B-81C3-6094457A2379}"/>
    <cellStyle name="Currency 10" xfId="527" xr:uid="{2A93FDAC-2F50-4B79-BF09-865C92A26817}"/>
    <cellStyle name="Currency 10 2" xfId="535" xr:uid="{6CF3938C-3689-4144-B3CB-5BD74A329416}"/>
    <cellStyle name="Currency 100" xfId="1846" xr:uid="{4B0004CF-923E-4A22-BB20-E4654DFEA748}"/>
    <cellStyle name="Currency 100 2" xfId="1847" xr:uid="{20FBCD4E-F0C3-4EF4-9D37-E178BCE04FC7}"/>
    <cellStyle name="Currency 11" xfId="990" xr:uid="{D410D9F2-7BE0-41AF-A753-39DC9E247183}"/>
    <cellStyle name="Currency 12" xfId="989" xr:uid="{659433C9-E7F4-491C-BE39-76B4594836EB}"/>
    <cellStyle name="Currency 13" xfId="1116" xr:uid="{C7F3BAFC-56B2-4C3E-9F63-556DDC888DA9}"/>
    <cellStyle name="Currency 14" xfId="1126" xr:uid="{93FBB80B-3E74-474D-AA2A-3FE33242D11A}"/>
    <cellStyle name="Currency 15" xfId="1130" xr:uid="{CAF25959-1A39-4737-9B47-CC79A2CA475F}"/>
    <cellStyle name="Currency 16" xfId="1141" xr:uid="{375AD488-573E-4615-AA3A-EB7521D93969}"/>
    <cellStyle name="Currency 16 2" xfId="1245" xr:uid="{EE0F666A-38AE-4140-BCD5-9F17D64C9078}"/>
    <cellStyle name="Currency 17" xfId="1140" xr:uid="{942E65AB-6D16-4545-BE42-D19CDAB04B5C}"/>
    <cellStyle name="Currency 17 2" xfId="1244" xr:uid="{9B6EE1E0-F5EB-4A4C-B966-A2A42063C5BE}"/>
    <cellStyle name="Currency 18" xfId="1168" xr:uid="{5CF937EA-775B-4026-9473-EE3D57E03BE5}"/>
    <cellStyle name="Currency 19" xfId="1176" xr:uid="{C3A88361-4E02-471A-AF0F-0C773DAD64BE}"/>
    <cellStyle name="Currency 2" xfId="19" xr:uid="{00000000-0005-0000-0000-000018010000}"/>
    <cellStyle name="Currency 2 2" xfId="245" xr:uid="{00000000-0005-0000-0000-000019010000}"/>
    <cellStyle name="Currency 2 2 2" xfId="538" xr:uid="{99390E99-C9CB-42F1-B25B-88E89C609998}"/>
    <cellStyle name="Currency 2 3" xfId="246" xr:uid="{00000000-0005-0000-0000-00001A010000}"/>
    <cellStyle name="Currency 2 3 2" xfId="247" xr:uid="{00000000-0005-0000-0000-00001B010000}"/>
    <cellStyle name="Currency 2 4" xfId="248" xr:uid="{00000000-0005-0000-0000-00001C010000}"/>
    <cellStyle name="Currency 20" xfId="1169" xr:uid="{E747E71A-070B-434C-867A-533381174BB7}"/>
    <cellStyle name="Currency 21" xfId="1181" xr:uid="{72F2DA2D-1C0C-48B4-B2C2-9760CE89AC52}"/>
    <cellStyle name="Currency 22" xfId="1170" xr:uid="{BBBDC8DC-C8D8-4BF4-B7FA-9C5DCCEB9F3C}"/>
    <cellStyle name="Currency 23" xfId="1180" xr:uid="{2FB0549C-6C04-4063-BDC5-AAFBBCCC6795}"/>
    <cellStyle name="Currency 24" xfId="1171" xr:uid="{76847231-C76B-4937-BB2C-5CBFBEFCDEBA}"/>
    <cellStyle name="Currency 25" xfId="1179" xr:uid="{FB1C973D-1F9F-41D3-871D-730CED218C2B}"/>
    <cellStyle name="Currency 26" xfId="1172" xr:uid="{8C33F5DF-B7CD-4B66-BE88-F6AB5B649C3B}"/>
    <cellStyle name="Currency 27" xfId="1178" xr:uid="{AAB5D968-0997-4F4A-9518-7F31531851EB}"/>
    <cellStyle name="Currency 3" xfId="7" xr:uid="{00000000-0005-0000-0000-00001D010000}"/>
    <cellStyle name="Currency 3 2" xfId="249" xr:uid="{00000000-0005-0000-0000-00001E010000}"/>
    <cellStyle name="Currency 3 2 2" xfId="558" xr:uid="{0500B2A0-09BE-4873-A8DE-4BBB7A18260C}"/>
    <cellStyle name="Currency 3 3" xfId="544" xr:uid="{AAEBFF09-FAA6-4714-8747-2EF9921A4CF3}"/>
    <cellStyle name="Currency 3 3 2" xfId="1095" xr:uid="{B6E07074-A383-42E2-A095-F3F6DA7943E2}"/>
    <cellStyle name="Currency 3 4" xfId="531" xr:uid="{39C3871A-A2FF-482D-9919-6FAD2605418A}"/>
    <cellStyle name="Currency 3 4 2" xfId="1096" xr:uid="{30090EC2-EFFA-4DF7-AC94-8D84CD823CF4}"/>
    <cellStyle name="Currency 3 5" xfId="1142" xr:uid="{5EFA6D4B-C512-4001-AEBE-A9A4F582043D}"/>
    <cellStyle name="Currency 3 5 2" xfId="1246" xr:uid="{CADC7C2C-7144-42C5-95F6-7467CFFCE582}"/>
    <cellStyle name="Currency 4" xfId="28" xr:uid="{00000000-0005-0000-0000-00001F010000}"/>
    <cellStyle name="Currency 4 10" xfId="1848" xr:uid="{720590BA-D266-4B78-9F6E-76E8CFDC7B4B}"/>
    <cellStyle name="Currency 4 10 2" xfId="1849" xr:uid="{B910D80E-06C6-422F-8D82-3EA3877B3276}"/>
    <cellStyle name="Currency 4 10 2 2" xfId="1850" xr:uid="{3199334C-DB76-44A8-AF9B-A505BB12E05E}"/>
    <cellStyle name="Currency 4 10 2 3" xfId="1851" xr:uid="{15ECAE87-505A-448C-A9F7-FB056B49775D}"/>
    <cellStyle name="Currency 4 10 3" xfId="1852" xr:uid="{D7516A18-0C56-486D-A498-1BE359EF5E1F}"/>
    <cellStyle name="Currency 4 10 4" xfId="1853" xr:uid="{3F3CFA3E-3E30-4914-8004-38B2A086072E}"/>
    <cellStyle name="Currency 4 10 5" xfId="1854" xr:uid="{73652689-DC6B-4F71-A8B6-19A4F1A7C88E}"/>
    <cellStyle name="Currency 4 11" xfId="1855" xr:uid="{BEF29F5E-9121-47AB-9C03-9F0D8008FCE8}"/>
    <cellStyle name="Currency 4 2" xfId="250" xr:uid="{00000000-0005-0000-0000-000020010000}"/>
    <cellStyle name="Currency 4 2 10" xfId="1857" xr:uid="{2CEF5DC5-FD19-46B7-BEFC-C3C7B9C1EC56}"/>
    <cellStyle name="Currency 4 2 10 2" xfId="1858" xr:uid="{CF89FF5A-37BD-4C47-9129-261492E5F0EB}"/>
    <cellStyle name="Currency 4 2 10 3" xfId="1859" xr:uid="{6DC4F299-A474-43F0-A5C9-09425F43DFBF}"/>
    <cellStyle name="Currency 4 2 11" xfId="1860" xr:uid="{A89A9C54-4E44-4499-9CAA-30F7C91C7E0B}"/>
    <cellStyle name="Currency 4 2 12" xfId="1861" xr:uid="{222F0FBC-C32A-4D91-B04C-DD83EFE21A07}"/>
    <cellStyle name="Currency 4 2 13" xfId="1862" xr:uid="{B07402B1-A073-431E-A89B-584339A45D5A}"/>
    <cellStyle name="Currency 4 2 14" xfId="1856" xr:uid="{05B803C6-01B8-4923-B125-EAEC9FE862DC}"/>
    <cellStyle name="Currency 4 2 2" xfId="1863" xr:uid="{25F76D8E-6680-4E32-B9D6-C4B0524CBA73}"/>
    <cellStyle name="Currency 4 2 2 2" xfId="1864" xr:uid="{68965483-282A-4CAE-BF6A-914C6175E25F}"/>
    <cellStyle name="Currency 4 2 2 2 2" xfId="1865" xr:uid="{F59C1099-1CB2-4DC7-B040-2AB5DE33BE4B}"/>
    <cellStyle name="Currency 4 2 2 2 2 2" xfId="1866" xr:uid="{278740E1-C6C4-484B-83B7-15DC336E9B2E}"/>
    <cellStyle name="Currency 4 2 2 2 2 2 2" xfId="1867" xr:uid="{CD353C1D-1774-4792-BE5B-F7CF2DD522AB}"/>
    <cellStyle name="Currency 4 2 2 2 2 2 2 2" xfId="1868" xr:uid="{E27B404D-B811-4732-9814-1AF35C108168}"/>
    <cellStyle name="Currency 4 2 2 2 2 2 2 3" xfId="1869" xr:uid="{48A31485-CCA4-4423-8AEB-D27326A49084}"/>
    <cellStyle name="Currency 4 2 2 2 2 2 3" xfId="1870" xr:uid="{ED23B45A-4B44-4B0E-8C14-4DAEF705D6F0}"/>
    <cellStyle name="Currency 4 2 2 2 2 2 4" xfId="1871" xr:uid="{DA508579-A336-4CD9-BD37-A1B5DD2C531F}"/>
    <cellStyle name="Currency 4 2 2 2 2 2 5" xfId="1872" xr:uid="{12B0C5DE-5D01-423B-863E-C3CEC6D999BC}"/>
    <cellStyle name="Currency 4 2 2 2 2 3" xfId="1873" xr:uid="{561BD43B-41D0-47F6-BEE3-DC841A3FB227}"/>
    <cellStyle name="Currency 4 2 2 2 2 3 2" xfId="1874" xr:uid="{C702596D-7FCB-46EA-934A-96F0A446B3E8}"/>
    <cellStyle name="Currency 4 2 2 2 2 3 2 2" xfId="1875" xr:uid="{46675078-37B0-4436-9CCA-7BEB445178DB}"/>
    <cellStyle name="Currency 4 2 2 2 2 3 2 3" xfId="1876" xr:uid="{383167C6-B998-4137-89FE-555833B930BA}"/>
    <cellStyle name="Currency 4 2 2 2 2 3 3" xfId="1877" xr:uid="{100412C1-90B0-4C01-BFF6-C8705CC88399}"/>
    <cellStyle name="Currency 4 2 2 2 2 3 4" xfId="1878" xr:uid="{18BA9104-481D-4979-96C3-5054CCA6A129}"/>
    <cellStyle name="Currency 4 2 2 2 2 3 5" xfId="1879" xr:uid="{4824C2D7-2F87-4CE4-950A-33D5508CB35C}"/>
    <cellStyle name="Currency 4 2 2 2 2 4" xfId="1880" xr:uid="{D7CB8E97-2FC2-4F9B-A0BF-602FE02A123A}"/>
    <cellStyle name="Currency 4 2 2 2 2 4 2" xfId="1881" xr:uid="{E72F934A-589A-4170-860B-57245B589C20}"/>
    <cellStyle name="Currency 4 2 2 2 2 4 3" xfId="1882" xr:uid="{21AB63F7-4F74-40A8-AD79-0253563B6554}"/>
    <cellStyle name="Currency 4 2 2 2 2 5" xfId="1883" xr:uid="{825DDBFD-E766-4585-B1E8-88E7A7F218E1}"/>
    <cellStyle name="Currency 4 2 2 2 2 6" xfId="1884" xr:uid="{ECC2F1F7-D79D-42C3-B360-19BED4A7EC19}"/>
    <cellStyle name="Currency 4 2 2 2 2 7" xfId="1885" xr:uid="{B3C0105E-68A9-43E2-98D7-3C7CA3B5CBF9}"/>
    <cellStyle name="Currency 4 2 2 2 3" xfId="1886" xr:uid="{0100D655-3100-4CCE-8C26-DA897DF99AD6}"/>
    <cellStyle name="Currency 4 2 2 2 3 2" xfId="1887" xr:uid="{2B11DAFC-D7D6-4B7B-B84B-7D837614AB71}"/>
    <cellStyle name="Currency 4 2 2 2 3 2 2" xfId="1888" xr:uid="{598D18A9-AB66-46F1-88A5-ADD0BFEAE32E}"/>
    <cellStyle name="Currency 4 2 2 2 3 2 3" xfId="1889" xr:uid="{2F3B29A0-F658-4A21-A220-765333C9652D}"/>
    <cellStyle name="Currency 4 2 2 2 3 3" xfId="1890" xr:uid="{921DA886-50F6-45A5-B867-6CF7483B2093}"/>
    <cellStyle name="Currency 4 2 2 2 3 4" xfId="1891" xr:uid="{A8986FB9-34CF-4ED7-A59A-7ABA10F82BD0}"/>
    <cellStyle name="Currency 4 2 2 2 3 5" xfId="1892" xr:uid="{483AFCF6-6934-4C1F-AF57-CFAA537BB287}"/>
    <cellStyle name="Currency 4 2 2 2 4" xfId="1893" xr:uid="{DBD5E9B9-EF45-466E-947C-1B5190BA43FB}"/>
    <cellStyle name="Currency 4 2 2 2 4 2" xfId="1894" xr:uid="{B40E521A-6BF0-495E-AE88-AB52EF848AC2}"/>
    <cellStyle name="Currency 4 2 2 2 4 2 2" xfId="1895" xr:uid="{B2E28876-2433-40F8-90C2-B1D724B5B9F6}"/>
    <cellStyle name="Currency 4 2 2 2 4 2 3" xfId="1896" xr:uid="{151B3F09-E723-4125-BEE7-7959488ACC72}"/>
    <cellStyle name="Currency 4 2 2 2 4 3" xfId="1897" xr:uid="{D9F57AEA-211B-4E33-B52A-3FE5E5170215}"/>
    <cellStyle name="Currency 4 2 2 2 4 4" xfId="1898" xr:uid="{96ABD380-64E9-43D2-983B-0C9A900BAD5D}"/>
    <cellStyle name="Currency 4 2 2 2 4 5" xfId="1899" xr:uid="{8C299785-4DEB-4361-9856-653145AE8227}"/>
    <cellStyle name="Currency 4 2 2 2 5" xfId="1900" xr:uid="{C3ED3A63-D91D-4F5B-A6DC-4718A3364405}"/>
    <cellStyle name="Currency 4 2 2 2 5 2" xfId="1901" xr:uid="{7F8F7FCF-BEEC-42A3-ABA4-01EB37BC6FB2}"/>
    <cellStyle name="Currency 4 2 2 2 5 3" xfId="1902" xr:uid="{0EA6692D-853A-42C4-B762-1010F48D3F02}"/>
    <cellStyle name="Currency 4 2 2 2 6" xfId="1903" xr:uid="{BF14048C-BEA6-4C0F-8D3C-BDF57AACAF01}"/>
    <cellStyle name="Currency 4 2 2 2 7" xfId="1904" xr:uid="{3C751004-A745-4F8E-8370-5D56402815FD}"/>
    <cellStyle name="Currency 4 2 2 2 8" xfId="1905" xr:uid="{002202FE-2A0E-413F-B812-16D19B431F07}"/>
    <cellStyle name="Currency 4 2 2 3" xfId="1906" xr:uid="{06C9A496-F807-4953-B03D-B96D19E05E81}"/>
    <cellStyle name="Currency 4 2 2 3 2" xfId="1907" xr:uid="{99BA15AA-9FDC-47C0-BA5D-0027A5D10DCE}"/>
    <cellStyle name="Currency 4 2 2 3 2 2" xfId="1908" xr:uid="{AECEC293-1BAE-4044-993F-0C357ABDD047}"/>
    <cellStyle name="Currency 4 2 2 3 2 2 2" xfId="1909" xr:uid="{58035287-CB1B-4FA5-9F8B-3F9C9AA828CB}"/>
    <cellStyle name="Currency 4 2 2 3 2 2 3" xfId="1910" xr:uid="{A85CDA41-2AB2-4195-99EA-196DFA4FCD3D}"/>
    <cellStyle name="Currency 4 2 2 3 2 3" xfId="1911" xr:uid="{36B611DA-3912-4937-8611-D52C0FB3742B}"/>
    <cellStyle name="Currency 4 2 2 3 2 4" xfId="1912" xr:uid="{4D6C3D4C-438B-40B9-B580-D5BB7303FD7B}"/>
    <cellStyle name="Currency 4 2 2 3 2 5" xfId="1913" xr:uid="{418F8681-7D74-466E-B15D-D4A4FD2FF261}"/>
    <cellStyle name="Currency 4 2 2 3 3" xfId="1914" xr:uid="{D1FDA655-AC12-4310-8603-5D491F4BB2FE}"/>
    <cellStyle name="Currency 4 2 2 3 3 2" xfId="1915" xr:uid="{E3E3B01C-8BCA-4C41-BF0D-1A24C282ED48}"/>
    <cellStyle name="Currency 4 2 2 3 3 2 2" xfId="1916" xr:uid="{55B3EF1F-025B-4F7B-A252-5D40586B28C7}"/>
    <cellStyle name="Currency 4 2 2 3 3 2 3" xfId="1917" xr:uid="{C6B39B70-4082-4693-B45A-51322CC37737}"/>
    <cellStyle name="Currency 4 2 2 3 3 3" xfId="1918" xr:uid="{6DDC4536-FB84-4699-8524-29B440389D3A}"/>
    <cellStyle name="Currency 4 2 2 3 3 4" xfId="1919" xr:uid="{591DF85D-C9D0-4326-B091-09E8C3736BA7}"/>
    <cellStyle name="Currency 4 2 2 3 3 5" xfId="1920" xr:uid="{6FDC975E-8653-4603-B626-A41C0ACA7F96}"/>
    <cellStyle name="Currency 4 2 2 3 4" xfId="1921" xr:uid="{8819D434-85C6-4D9E-A1AD-8023F5696512}"/>
    <cellStyle name="Currency 4 2 2 3 4 2" xfId="1922" xr:uid="{B0BAC70A-DE90-4231-ADD0-C307434628ED}"/>
    <cellStyle name="Currency 4 2 2 3 4 3" xfId="1923" xr:uid="{056F34E5-F0C1-449F-ABBB-61ACBD3801FE}"/>
    <cellStyle name="Currency 4 2 2 3 5" xfId="1924" xr:uid="{CD9FA5B6-786D-461B-B4B6-FB1770B005F2}"/>
    <cellStyle name="Currency 4 2 2 3 6" xfId="1925" xr:uid="{0FE9AD9F-D03B-48A3-8B47-93E0A00D7E92}"/>
    <cellStyle name="Currency 4 2 2 3 7" xfId="1926" xr:uid="{598A4ED4-952B-4E40-998B-ED39E7D5A2D9}"/>
    <cellStyle name="Currency 4 2 2 4" xfId="1927" xr:uid="{558354C8-9165-43BD-8AD8-89B2F2B6998E}"/>
    <cellStyle name="Currency 4 2 2 4 2" xfId="1928" xr:uid="{5E91C095-C05C-4FBB-9720-2B43A3C40118}"/>
    <cellStyle name="Currency 4 2 2 4 2 2" xfId="1929" xr:uid="{1CEDE939-2544-412C-A1AF-8889DC6C6940}"/>
    <cellStyle name="Currency 4 2 2 4 2 3" xfId="1930" xr:uid="{DBFCEC89-2A87-48DA-9770-C8E00C04D533}"/>
    <cellStyle name="Currency 4 2 2 4 3" xfId="1931" xr:uid="{C4FAE4BD-DA77-497F-9E67-8A6F8AB8F33A}"/>
    <cellStyle name="Currency 4 2 2 4 4" xfId="1932" xr:uid="{F9A2419E-C431-4F4D-B207-E9C7272C619B}"/>
    <cellStyle name="Currency 4 2 2 4 5" xfId="1933" xr:uid="{CCF58360-D33F-4F57-AE78-ACF0D6CA438A}"/>
    <cellStyle name="Currency 4 2 2 5" xfId="1934" xr:uid="{EDB8D825-36DB-4BAC-8ECD-8D8E40C77435}"/>
    <cellStyle name="Currency 4 2 2 5 2" xfId="1935" xr:uid="{D64C9DC1-CAB1-4CC9-BD5D-DD0BC1A83583}"/>
    <cellStyle name="Currency 4 2 2 5 2 2" xfId="1936" xr:uid="{0DB5377B-A52F-4228-B29E-5A1726359EC1}"/>
    <cellStyle name="Currency 4 2 2 5 2 3" xfId="1937" xr:uid="{4C6D95B3-2E45-4437-A519-06CB30E85DC2}"/>
    <cellStyle name="Currency 4 2 2 5 3" xfId="1938" xr:uid="{E38EC8A5-FF1B-48C7-9D07-68CBD8CF2F1C}"/>
    <cellStyle name="Currency 4 2 2 5 4" xfId="1939" xr:uid="{6E42140D-0C25-45A3-9B3F-5F3044E81AD6}"/>
    <cellStyle name="Currency 4 2 2 5 5" xfId="1940" xr:uid="{7A345C88-BDD6-4514-8DD7-5B13451FE522}"/>
    <cellStyle name="Currency 4 2 2 6" xfId="1941" xr:uid="{55902F5D-D532-4AC1-9B6A-7963CCBDBD1B}"/>
    <cellStyle name="Currency 4 2 2 6 2" xfId="1942" xr:uid="{46113A22-6168-453E-9637-27B75B617A83}"/>
    <cellStyle name="Currency 4 2 2 6 3" xfId="1943" xr:uid="{70876C6E-8230-4ECF-84E0-B0D9027D2B3B}"/>
    <cellStyle name="Currency 4 2 2 7" xfId="1944" xr:uid="{C46F420B-D8CD-484E-9909-170E8B5D0721}"/>
    <cellStyle name="Currency 4 2 2 8" xfId="1945" xr:uid="{2626DDAB-FF78-47BD-8AD2-FA90488870D5}"/>
    <cellStyle name="Currency 4 2 2 9" xfId="1946" xr:uid="{5EC943B8-ACF5-4357-8CEF-F1314CD9FF50}"/>
    <cellStyle name="Currency 4 2 3" xfId="1947" xr:uid="{CBA09B05-D56B-4A9C-9E1A-F03A9BD85891}"/>
    <cellStyle name="Currency 4 2 3 2" xfId="1948" xr:uid="{3E19CE3D-8161-4928-9759-B86E309DB399}"/>
    <cellStyle name="Currency 4 2 3 2 2" xfId="1949" xr:uid="{F6D16054-EF2A-4FEA-90DF-A89200FF7C98}"/>
    <cellStyle name="Currency 4 2 3 2 2 2" xfId="1950" xr:uid="{1D72EAEC-64D0-4C83-A5AA-233E5245C118}"/>
    <cellStyle name="Currency 4 2 3 2 2 2 2" xfId="1951" xr:uid="{960FDE39-C21B-448F-9926-B3911AC0E5F5}"/>
    <cellStyle name="Currency 4 2 3 2 2 2 2 2" xfId="1952" xr:uid="{7A47B03E-2B18-4CE0-BD24-E6B1DA10DAED}"/>
    <cellStyle name="Currency 4 2 3 2 2 2 2 3" xfId="1953" xr:uid="{C216FF99-3CC0-4C96-9685-A237112CDFE3}"/>
    <cellStyle name="Currency 4 2 3 2 2 2 3" xfId="1954" xr:uid="{622C70B6-B2D8-4640-B311-CE5DF14F5ED5}"/>
    <cellStyle name="Currency 4 2 3 2 2 2 4" xfId="1955" xr:uid="{F803CC91-9916-47A1-8E95-F65A257784EC}"/>
    <cellStyle name="Currency 4 2 3 2 2 2 5" xfId="1956" xr:uid="{F5DC4D32-D21B-42A4-9067-CE54DFE24A9D}"/>
    <cellStyle name="Currency 4 2 3 2 2 3" xfId="1957" xr:uid="{8DE10DFC-3803-40C4-8300-7A7F58F746BC}"/>
    <cellStyle name="Currency 4 2 3 2 2 3 2" xfId="1958" xr:uid="{FC289CC7-1553-4C6A-8BC9-A8F0480CCF7B}"/>
    <cellStyle name="Currency 4 2 3 2 2 3 2 2" xfId="1959" xr:uid="{4B77F243-0529-44CA-8300-767F74D2C726}"/>
    <cellStyle name="Currency 4 2 3 2 2 3 2 3" xfId="1960" xr:uid="{AE737753-E381-4A3F-875C-F29D94DF1328}"/>
    <cellStyle name="Currency 4 2 3 2 2 3 3" xfId="1961" xr:uid="{DAD4B3DD-B196-467C-8044-E5606D4A44F2}"/>
    <cellStyle name="Currency 4 2 3 2 2 3 4" xfId="1962" xr:uid="{8BF12516-8971-4347-A376-67676D91E3F8}"/>
    <cellStyle name="Currency 4 2 3 2 2 3 5" xfId="1963" xr:uid="{D4E92EDF-F257-47CD-8EE6-0184D45C6C6E}"/>
    <cellStyle name="Currency 4 2 3 2 2 4" xfId="1964" xr:uid="{877B8E02-0D91-4B0B-8A3B-96D5DF786296}"/>
    <cellStyle name="Currency 4 2 3 2 2 4 2" xfId="1965" xr:uid="{EFCF159F-1FC2-4CE5-B0C6-144773D1A744}"/>
    <cellStyle name="Currency 4 2 3 2 2 4 3" xfId="1966" xr:uid="{094761CB-B3CA-40DA-A3CA-9AC79CE0462F}"/>
    <cellStyle name="Currency 4 2 3 2 2 5" xfId="1967" xr:uid="{9EE36E33-B7EB-41BE-B58A-CBE43C2B0FAF}"/>
    <cellStyle name="Currency 4 2 3 2 2 6" xfId="1968" xr:uid="{626EE7BE-1C33-4EF2-A5CE-AB386F688EB3}"/>
    <cellStyle name="Currency 4 2 3 2 2 7" xfId="1969" xr:uid="{03BD569C-DEE8-41CD-B18A-04FB671D1759}"/>
    <cellStyle name="Currency 4 2 3 2 3" xfId="1970" xr:uid="{BBDB13DC-6016-4120-9F16-89A8B7BAABC9}"/>
    <cellStyle name="Currency 4 2 3 2 3 2" xfId="1971" xr:uid="{5D0645E1-BF05-426D-A23D-3853648FB57D}"/>
    <cellStyle name="Currency 4 2 3 2 3 2 2" xfId="1972" xr:uid="{8734A2BA-DFB9-49B5-9C09-695C7049809D}"/>
    <cellStyle name="Currency 4 2 3 2 3 2 3" xfId="1973" xr:uid="{BC70AE5E-1061-4D6B-AAE4-506FE30742FF}"/>
    <cellStyle name="Currency 4 2 3 2 3 3" xfId="1974" xr:uid="{BAB6AB33-321F-407C-95AB-1087D9432CE7}"/>
    <cellStyle name="Currency 4 2 3 2 3 4" xfId="1975" xr:uid="{9D9E2AE9-1A0F-4DC8-876E-8EE0DCDCEB71}"/>
    <cellStyle name="Currency 4 2 3 2 3 5" xfId="1976" xr:uid="{DEDA5860-9916-4354-8D1E-0E068F969C68}"/>
    <cellStyle name="Currency 4 2 3 2 4" xfId="1977" xr:uid="{D5032B7D-AAE2-4B7A-B015-EA9ECC3E218D}"/>
    <cellStyle name="Currency 4 2 3 2 4 2" xfId="1978" xr:uid="{0659EE3E-03AC-487E-8BA3-1CA63A0B4E9D}"/>
    <cellStyle name="Currency 4 2 3 2 4 2 2" xfId="1979" xr:uid="{582E85EE-23CD-4D80-A231-F312BC58357F}"/>
    <cellStyle name="Currency 4 2 3 2 4 2 3" xfId="1980" xr:uid="{8F72CEB8-D6BB-461C-ADA8-1BD648C42141}"/>
    <cellStyle name="Currency 4 2 3 2 4 3" xfId="1981" xr:uid="{C498423E-5AE1-4AD3-BF0D-294F06034F03}"/>
    <cellStyle name="Currency 4 2 3 2 4 4" xfId="1982" xr:uid="{D29E5532-4507-439A-98AD-5EA2172CCFE8}"/>
    <cellStyle name="Currency 4 2 3 2 4 5" xfId="1983" xr:uid="{F031B939-8D03-40BD-AEB7-4A6EA76D6CE3}"/>
    <cellStyle name="Currency 4 2 3 2 5" xfId="1984" xr:uid="{C144A9AA-AD9B-4766-AB2C-B7C72EC9A0CC}"/>
    <cellStyle name="Currency 4 2 3 2 5 2" xfId="1985" xr:uid="{500C5ED3-7D71-47B3-A884-74F549FC6DA4}"/>
    <cellStyle name="Currency 4 2 3 2 5 3" xfId="1986" xr:uid="{E1B72587-3DA4-46BC-A979-076048EEE953}"/>
    <cellStyle name="Currency 4 2 3 2 6" xfId="1987" xr:uid="{70FF6D86-ED6A-488B-AD60-0CE90CCC1326}"/>
    <cellStyle name="Currency 4 2 3 2 7" xfId="1988" xr:uid="{ACA4961F-E283-4B14-9A29-EF811C068297}"/>
    <cellStyle name="Currency 4 2 3 2 8" xfId="1989" xr:uid="{2C4DF299-7A1F-49B2-A61A-1A9CF0B2ECF4}"/>
    <cellStyle name="Currency 4 2 3 3" xfId="1990" xr:uid="{5FEF55DD-BC55-4E87-8320-01F63F6352BB}"/>
    <cellStyle name="Currency 4 2 3 3 2" xfId="1991" xr:uid="{1DE4CCB1-8826-4265-816B-4C6CE41004E5}"/>
    <cellStyle name="Currency 4 2 3 3 2 2" xfId="1992" xr:uid="{30557717-734A-4A37-ADDB-66461EEB0139}"/>
    <cellStyle name="Currency 4 2 3 3 2 2 2" xfId="1993" xr:uid="{71C15FDB-60C5-4A2A-B2EC-6E7702C173C9}"/>
    <cellStyle name="Currency 4 2 3 3 2 2 3" xfId="1994" xr:uid="{812730E9-A845-4440-9FD2-BABA73C9020C}"/>
    <cellStyle name="Currency 4 2 3 3 2 3" xfId="1995" xr:uid="{714477B9-E47C-47BD-828B-0ED1F44E1D28}"/>
    <cellStyle name="Currency 4 2 3 3 2 4" xfId="1996" xr:uid="{94EED32A-3016-4CBC-BD7A-32DAC41949CC}"/>
    <cellStyle name="Currency 4 2 3 3 2 5" xfId="1997" xr:uid="{CE45A950-B821-46E9-933E-961DCA2B29CD}"/>
    <cellStyle name="Currency 4 2 3 3 3" xfId="1998" xr:uid="{1DC20B01-1FCA-4D76-8D4B-B4E30A6AE9E0}"/>
    <cellStyle name="Currency 4 2 3 3 3 2" xfId="1999" xr:uid="{3BA86B7E-6FCF-4BD6-A222-383DD83F0B40}"/>
    <cellStyle name="Currency 4 2 3 3 3 2 2" xfId="2000" xr:uid="{E463C096-ECB7-4D27-A7DD-18C568F9734C}"/>
    <cellStyle name="Currency 4 2 3 3 3 2 3" xfId="2001" xr:uid="{B2633488-0475-4F5D-A052-21DDE78DFA3C}"/>
    <cellStyle name="Currency 4 2 3 3 3 3" xfId="2002" xr:uid="{62FBD5A3-3941-497C-97C1-0258D09A1784}"/>
    <cellStyle name="Currency 4 2 3 3 3 4" xfId="2003" xr:uid="{5C9B6947-F020-407B-B883-125ACB2FF5E1}"/>
    <cellStyle name="Currency 4 2 3 3 3 5" xfId="2004" xr:uid="{31487C9F-9D16-47AD-B032-9FE7BA7DE3AD}"/>
    <cellStyle name="Currency 4 2 3 3 4" xfId="2005" xr:uid="{A85621E8-2DDF-416F-BEFA-DCBE4D8C4E70}"/>
    <cellStyle name="Currency 4 2 3 3 4 2" xfId="2006" xr:uid="{4872CD58-CF35-4EE5-B8CB-DDF9590B08AD}"/>
    <cellStyle name="Currency 4 2 3 3 4 3" xfId="2007" xr:uid="{100FCFE6-C381-44D8-AF60-2A72B04782ED}"/>
    <cellStyle name="Currency 4 2 3 3 5" xfId="2008" xr:uid="{CB8F53E4-F215-451D-A88C-6C1EBFAFFA66}"/>
    <cellStyle name="Currency 4 2 3 3 6" xfId="2009" xr:uid="{52F6C2AD-E210-4EBF-BB64-35DDE64B4F1A}"/>
    <cellStyle name="Currency 4 2 3 3 7" xfId="2010" xr:uid="{385212FB-0A4F-484D-B147-857FEF1C68CA}"/>
    <cellStyle name="Currency 4 2 3 4" xfId="2011" xr:uid="{D8F6A664-6AAE-4609-BC53-EE246D8E7671}"/>
    <cellStyle name="Currency 4 2 3 4 2" xfId="2012" xr:uid="{F804062C-40BF-4978-801D-98281EDEFF0C}"/>
    <cellStyle name="Currency 4 2 3 4 2 2" xfId="2013" xr:uid="{F4E9E85F-B101-44DC-A553-74704990842B}"/>
    <cellStyle name="Currency 4 2 3 4 2 3" xfId="2014" xr:uid="{045B435A-D942-4CAF-966F-9B354638877F}"/>
    <cellStyle name="Currency 4 2 3 4 3" xfId="2015" xr:uid="{A68525DD-AFE6-4B89-A2D0-978E7B3088F5}"/>
    <cellStyle name="Currency 4 2 3 4 4" xfId="2016" xr:uid="{027D8202-8483-4643-9C87-07D85FE1AEC6}"/>
    <cellStyle name="Currency 4 2 3 4 5" xfId="2017" xr:uid="{A88D2D9A-9220-4320-AEF8-BB62B77CB378}"/>
    <cellStyle name="Currency 4 2 3 5" xfId="2018" xr:uid="{2E0BE6C9-ADED-4188-9C23-E81127D10C81}"/>
    <cellStyle name="Currency 4 2 3 5 2" xfId="2019" xr:uid="{8CBBBD0D-27B5-4C9B-B1F3-C9622D64CBE6}"/>
    <cellStyle name="Currency 4 2 3 5 2 2" xfId="2020" xr:uid="{1B696596-7CB5-4275-B31A-AAD9C7D4D21C}"/>
    <cellStyle name="Currency 4 2 3 5 2 3" xfId="2021" xr:uid="{A2F9732B-0B0B-4800-A010-D08C5F5913E4}"/>
    <cellStyle name="Currency 4 2 3 5 3" xfId="2022" xr:uid="{D85F941B-AE55-4B4C-B040-BB9C967BEC32}"/>
    <cellStyle name="Currency 4 2 3 5 4" xfId="2023" xr:uid="{29ED2101-0BB4-49D9-A4A4-0148FB10783E}"/>
    <cellStyle name="Currency 4 2 3 5 5" xfId="2024" xr:uid="{31C3DB64-7A60-44EB-82C0-6FE4E3AFB62F}"/>
    <cellStyle name="Currency 4 2 3 6" xfId="2025" xr:uid="{83E2B146-FCF0-4548-ACF6-A4EC5726795A}"/>
    <cellStyle name="Currency 4 2 3 6 2" xfId="2026" xr:uid="{A2E68A29-CC5F-4EE6-99B6-7AD39AC1ABAF}"/>
    <cellStyle name="Currency 4 2 3 6 3" xfId="2027" xr:uid="{567688EA-E60E-4A65-A863-DB20E1673F07}"/>
    <cellStyle name="Currency 4 2 3 7" xfId="2028" xr:uid="{B3EE4A3C-68F2-4955-A578-1C0E0EA3B443}"/>
    <cellStyle name="Currency 4 2 3 8" xfId="2029" xr:uid="{3B0E9C24-AF1C-4F38-95A8-CEE056F80E55}"/>
    <cellStyle name="Currency 4 2 3 9" xfId="2030" xr:uid="{380D1F6F-7439-4D4C-8FC8-3F664005B498}"/>
    <cellStyle name="Currency 4 2 4" xfId="2031" xr:uid="{48C35829-CB98-43BC-86C5-AA55C72BF500}"/>
    <cellStyle name="Currency 4 2 4 2" xfId="2032" xr:uid="{BEC99CB5-CAFF-45D6-B2DF-125B0EC382D9}"/>
    <cellStyle name="Currency 4 2 4 2 2" xfId="2033" xr:uid="{3C3566AC-A2AF-4173-8EC4-8BC7DD159044}"/>
    <cellStyle name="Currency 4 2 4 2 2 2" xfId="2034" xr:uid="{45B667DE-D099-4244-B499-19EB72D1F041}"/>
    <cellStyle name="Currency 4 2 4 2 2 2 2" xfId="2035" xr:uid="{1BAB154D-7117-4D0A-98E7-4F25969B3F86}"/>
    <cellStyle name="Currency 4 2 4 2 2 2 2 2" xfId="2036" xr:uid="{15F92708-6244-4A27-BFEB-ECE66BC2B4C8}"/>
    <cellStyle name="Currency 4 2 4 2 2 2 2 3" xfId="2037" xr:uid="{B48274C2-399C-4791-B01F-E0E43615857A}"/>
    <cellStyle name="Currency 4 2 4 2 2 2 3" xfId="2038" xr:uid="{DF92E965-29F6-45AE-89A4-27344D935E23}"/>
    <cellStyle name="Currency 4 2 4 2 2 2 4" xfId="2039" xr:uid="{1FD93C2E-D0ED-45AC-A723-959253B71E41}"/>
    <cellStyle name="Currency 4 2 4 2 2 2 5" xfId="2040" xr:uid="{CCD21FA7-CBB8-4850-B2F3-6DFA91B8BA01}"/>
    <cellStyle name="Currency 4 2 4 2 2 3" xfId="2041" xr:uid="{64D60BE5-E544-4488-A1C6-7509951F6ACD}"/>
    <cellStyle name="Currency 4 2 4 2 2 3 2" xfId="2042" xr:uid="{F73A7B07-2724-4BD0-9F63-F9B24B57EA41}"/>
    <cellStyle name="Currency 4 2 4 2 2 3 2 2" xfId="2043" xr:uid="{2BA7C91A-A28F-4E3E-9BD2-E7896835ED7C}"/>
    <cellStyle name="Currency 4 2 4 2 2 3 2 3" xfId="2044" xr:uid="{86D52858-D770-4707-ABDB-3EDDC16B7E2B}"/>
    <cellStyle name="Currency 4 2 4 2 2 3 3" xfId="2045" xr:uid="{95F43D91-D16D-4116-8FD9-B890EE85CB6F}"/>
    <cellStyle name="Currency 4 2 4 2 2 3 4" xfId="2046" xr:uid="{73A419F0-4BDA-4F1B-87DC-7AE9AA236123}"/>
    <cellStyle name="Currency 4 2 4 2 2 3 5" xfId="2047" xr:uid="{1415A393-E7C9-496A-8F2F-6593868CF5F1}"/>
    <cellStyle name="Currency 4 2 4 2 2 4" xfId="2048" xr:uid="{23144CC9-8346-42B0-A8A4-E105AF1F8D2E}"/>
    <cellStyle name="Currency 4 2 4 2 2 4 2" xfId="2049" xr:uid="{565168B7-856F-4BE3-9557-F4D682C6615A}"/>
    <cellStyle name="Currency 4 2 4 2 2 4 3" xfId="2050" xr:uid="{4455417C-375C-400A-BCC2-49FA7C06677F}"/>
    <cellStyle name="Currency 4 2 4 2 2 5" xfId="2051" xr:uid="{F8E18E2F-1746-4FE3-99EC-547E3724306E}"/>
    <cellStyle name="Currency 4 2 4 2 2 6" xfId="2052" xr:uid="{C9054C92-CD71-4C07-BB36-41583C07F857}"/>
    <cellStyle name="Currency 4 2 4 2 2 7" xfId="2053" xr:uid="{B87B72BE-2307-461D-B1FF-47812225BA00}"/>
    <cellStyle name="Currency 4 2 4 2 3" xfId="2054" xr:uid="{0B94FEE3-4F0F-472C-880A-3844B3488C05}"/>
    <cellStyle name="Currency 4 2 4 2 3 2" xfId="2055" xr:uid="{F9CB09E8-B9BF-4161-9627-DD9E6DD33E48}"/>
    <cellStyle name="Currency 4 2 4 2 3 2 2" xfId="2056" xr:uid="{8C1DDC76-2AC7-461C-B5FB-836005ED14E3}"/>
    <cellStyle name="Currency 4 2 4 2 3 2 3" xfId="2057" xr:uid="{7D95DD1A-CC24-4C5D-9B7E-750782629830}"/>
    <cellStyle name="Currency 4 2 4 2 3 3" xfId="2058" xr:uid="{E0CA0666-8931-4D79-8B5C-17F8CE2DF541}"/>
    <cellStyle name="Currency 4 2 4 2 3 4" xfId="2059" xr:uid="{7CC26DA9-01B7-43FA-9F11-3883B2AB4729}"/>
    <cellStyle name="Currency 4 2 4 2 3 5" xfId="2060" xr:uid="{575ACC73-2458-49F6-993B-FF6289635074}"/>
    <cellStyle name="Currency 4 2 4 2 4" xfId="2061" xr:uid="{DFF172F9-75A2-4FC7-949A-0DCD4AE428AF}"/>
    <cellStyle name="Currency 4 2 4 2 4 2" xfId="2062" xr:uid="{F452EE4E-A091-4FAE-8DE5-E696F31147C3}"/>
    <cellStyle name="Currency 4 2 4 2 4 2 2" xfId="2063" xr:uid="{20748CD6-5489-458E-8A8B-FCABB8A895B2}"/>
    <cellStyle name="Currency 4 2 4 2 4 2 3" xfId="2064" xr:uid="{781215F4-D8CD-4164-A7CA-81145FCD55C3}"/>
    <cellStyle name="Currency 4 2 4 2 4 3" xfId="2065" xr:uid="{318FB86B-30FC-497A-95ED-4D70CE3A9DAD}"/>
    <cellStyle name="Currency 4 2 4 2 4 4" xfId="2066" xr:uid="{5E4EF7D2-6D0F-433E-893E-99149DF446ED}"/>
    <cellStyle name="Currency 4 2 4 2 4 5" xfId="2067" xr:uid="{B5874226-888E-47DD-AB15-D5D032F8BEC9}"/>
    <cellStyle name="Currency 4 2 4 2 5" xfId="2068" xr:uid="{2405F40F-C258-4E23-AC8E-FF416C4F3B0A}"/>
    <cellStyle name="Currency 4 2 4 2 5 2" xfId="2069" xr:uid="{7838EBA5-A62C-4F69-81A5-4E8DA0EE691D}"/>
    <cellStyle name="Currency 4 2 4 2 5 3" xfId="2070" xr:uid="{BAD2BEB3-0E85-4F8F-BC57-E85332C43C2C}"/>
    <cellStyle name="Currency 4 2 4 2 6" xfId="2071" xr:uid="{0C85172B-3B20-4367-A661-E243F42CC86F}"/>
    <cellStyle name="Currency 4 2 4 2 7" xfId="2072" xr:uid="{3EFA06BF-6181-4EE7-904E-FB4451174BEC}"/>
    <cellStyle name="Currency 4 2 4 2 8" xfId="2073" xr:uid="{611C1333-24DD-4E3D-B94E-4685E8115D62}"/>
    <cellStyle name="Currency 4 2 4 3" xfId="2074" xr:uid="{40221B34-F8EC-4AD1-ACBD-661E03728EF0}"/>
    <cellStyle name="Currency 4 2 4 3 2" xfId="2075" xr:uid="{9143F93B-551A-4AF6-BA00-B3808AE49C95}"/>
    <cellStyle name="Currency 4 2 4 3 2 2" xfId="2076" xr:uid="{D265FB1D-D324-453D-8A97-F951525F6634}"/>
    <cellStyle name="Currency 4 2 4 3 2 2 2" xfId="2077" xr:uid="{FDBF73AE-9812-4D95-885A-7817DD059F80}"/>
    <cellStyle name="Currency 4 2 4 3 2 2 3" xfId="2078" xr:uid="{6B8916A1-B7F5-45EE-B434-08E2A3FEBB5B}"/>
    <cellStyle name="Currency 4 2 4 3 2 3" xfId="2079" xr:uid="{04211652-1030-411E-B780-2FE73ED72C60}"/>
    <cellStyle name="Currency 4 2 4 3 2 4" xfId="2080" xr:uid="{1B398C30-6B55-4072-87A6-8B337F294022}"/>
    <cellStyle name="Currency 4 2 4 3 2 5" xfId="2081" xr:uid="{DFAA0BA3-12D5-408B-B2DB-CF35C700676B}"/>
    <cellStyle name="Currency 4 2 4 3 3" xfId="2082" xr:uid="{754274A3-F5DB-452D-83D6-B1B70162D5C3}"/>
    <cellStyle name="Currency 4 2 4 3 3 2" xfId="2083" xr:uid="{5D346036-3E2F-49F0-BB40-22EB7EDE05B8}"/>
    <cellStyle name="Currency 4 2 4 3 3 2 2" xfId="2084" xr:uid="{578B8AD0-75B3-41A0-9CD7-CF996D0EE77F}"/>
    <cellStyle name="Currency 4 2 4 3 3 2 3" xfId="2085" xr:uid="{8E1124C3-41EC-44B4-89CE-F56240BE1017}"/>
    <cellStyle name="Currency 4 2 4 3 3 3" xfId="2086" xr:uid="{2ABEAB98-9A11-4973-A6A4-69C252E6BD3C}"/>
    <cellStyle name="Currency 4 2 4 3 3 4" xfId="2087" xr:uid="{0A69AE06-1AE7-4DBD-80E5-8FFD4845BB24}"/>
    <cellStyle name="Currency 4 2 4 3 3 5" xfId="2088" xr:uid="{570F8550-A803-4512-8F7C-6A8C677D1621}"/>
    <cellStyle name="Currency 4 2 4 3 4" xfId="2089" xr:uid="{5C02E76E-F711-457F-A57F-1A08F41F0623}"/>
    <cellStyle name="Currency 4 2 4 3 4 2" xfId="2090" xr:uid="{0236E9D6-128C-4316-BCC1-4A51A42720B6}"/>
    <cellStyle name="Currency 4 2 4 3 4 3" xfId="2091" xr:uid="{311CD553-C4D4-40FF-A75E-001C5DCAE50C}"/>
    <cellStyle name="Currency 4 2 4 3 5" xfId="2092" xr:uid="{F698E6FA-6590-4353-92DA-052D9E0288B7}"/>
    <cellStyle name="Currency 4 2 4 3 6" xfId="2093" xr:uid="{619CF58A-02F1-4754-B47E-64C75668C7E3}"/>
    <cellStyle name="Currency 4 2 4 3 7" xfId="2094" xr:uid="{CCA53F15-8FE1-4B72-9CBD-AC215D0354D2}"/>
    <cellStyle name="Currency 4 2 4 4" xfId="2095" xr:uid="{DC0C96AC-92ED-47F5-B897-A89D3E896C0F}"/>
    <cellStyle name="Currency 4 2 4 4 2" xfId="2096" xr:uid="{2D650F00-399E-46BF-845E-20ADE2826548}"/>
    <cellStyle name="Currency 4 2 4 4 2 2" xfId="2097" xr:uid="{F56C67EB-4999-40AC-896D-57B1D8E6311F}"/>
    <cellStyle name="Currency 4 2 4 4 2 3" xfId="2098" xr:uid="{77D2C4EE-D055-49ED-B026-90C250518BA3}"/>
    <cellStyle name="Currency 4 2 4 4 3" xfId="2099" xr:uid="{737CEB43-2595-4381-AA0D-45A17C09F7C3}"/>
    <cellStyle name="Currency 4 2 4 4 4" xfId="2100" xr:uid="{EF803D80-8224-4F9C-893E-0456BFE8E903}"/>
    <cellStyle name="Currency 4 2 4 4 5" xfId="2101" xr:uid="{BB08BD18-BBFF-449D-8E12-9B3570E578B8}"/>
    <cellStyle name="Currency 4 2 4 5" xfId="2102" xr:uid="{24FC0350-A51D-455E-9B52-2F761CAA1DC1}"/>
    <cellStyle name="Currency 4 2 4 5 2" xfId="2103" xr:uid="{FFDF9FA9-A26B-4BF4-8A3E-64514E033E0C}"/>
    <cellStyle name="Currency 4 2 4 5 2 2" xfId="2104" xr:uid="{CDB5129F-2384-49AA-BD97-7377780F0869}"/>
    <cellStyle name="Currency 4 2 4 5 2 3" xfId="2105" xr:uid="{259B2BCB-525C-4CB7-96D5-6C0D1964EDB6}"/>
    <cellStyle name="Currency 4 2 4 5 3" xfId="2106" xr:uid="{DDBB2906-7AD7-4123-AC11-4FB0C1983060}"/>
    <cellStyle name="Currency 4 2 4 5 4" xfId="2107" xr:uid="{3437B2BE-F1D0-4A0F-A77A-DC3D20DCC272}"/>
    <cellStyle name="Currency 4 2 4 5 5" xfId="2108" xr:uid="{063966E5-A260-41D9-A808-C48F04C7FDEA}"/>
    <cellStyle name="Currency 4 2 4 6" xfId="2109" xr:uid="{391E724E-D952-47F1-9DD8-FCE9D67DF6AE}"/>
    <cellStyle name="Currency 4 2 4 6 2" xfId="2110" xr:uid="{1DAE713B-4B73-4836-84FB-FAADBE70B812}"/>
    <cellStyle name="Currency 4 2 4 6 3" xfId="2111" xr:uid="{F8B34E0E-1219-4032-A32D-5BFB84B8F5E1}"/>
    <cellStyle name="Currency 4 2 4 7" xfId="2112" xr:uid="{AE9C2227-F690-4CB0-A26D-AD584273049A}"/>
    <cellStyle name="Currency 4 2 4 8" xfId="2113" xr:uid="{604BDCAE-8DD6-4597-B014-E0FAADE7B372}"/>
    <cellStyle name="Currency 4 2 4 9" xfId="2114" xr:uid="{14FD32E5-8DD3-4FA9-BDD9-7BD6AD9FC4C4}"/>
    <cellStyle name="Currency 4 2 5" xfId="2115" xr:uid="{3913FB26-7395-4881-AD38-D42BC81C5AB2}"/>
    <cellStyle name="Currency 4 2 5 2" xfId="2116" xr:uid="{45A3CE93-D942-435E-A34B-A3BEA0209E96}"/>
    <cellStyle name="Currency 4 2 5 2 2" xfId="2117" xr:uid="{BECA0746-1234-4DDC-9068-4C248F00BAB6}"/>
    <cellStyle name="Currency 4 2 5 2 2 2" xfId="2118" xr:uid="{1C62E705-5D2B-4CBD-A02B-3157A1773B39}"/>
    <cellStyle name="Currency 4 2 5 2 2 2 2" xfId="2119" xr:uid="{7D5BFED0-0EC7-4DBD-BABF-D32B919C3A2E}"/>
    <cellStyle name="Currency 4 2 5 2 2 2 3" xfId="2120" xr:uid="{F2401A19-AE6F-48A8-9FAE-874465D0E884}"/>
    <cellStyle name="Currency 4 2 5 2 2 3" xfId="2121" xr:uid="{2FD655AB-1224-4D7F-BB1F-40B31ADBA4B1}"/>
    <cellStyle name="Currency 4 2 5 2 2 4" xfId="2122" xr:uid="{ED8E2E46-08E8-41CA-B833-C8CF7E39A894}"/>
    <cellStyle name="Currency 4 2 5 2 2 5" xfId="2123" xr:uid="{603097C0-2025-4758-B92B-FCB6C609E5B6}"/>
    <cellStyle name="Currency 4 2 5 2 3" xfId="2124" xr:uid="{034798EF-B758-43BB-BABC-68B918B44414}"/>
    <cellStyle name="Currency 4 2 5 2 3 2" xfId="2125" xr:uid="{9C563C00-698D-41D9-901D-13B6EDE11FAB}"/>
    <cellStyle name="Currency 4 2 5 2 3 2 2" xfId="2126" xr:uid="{19A80A84-1175-40DA-AA55-6CCF9533056C}"/>
    <cellStyle name="Currency 4 2 5 2 3 2 3" xfId="2127" xr:uid="{120CC400-D67F-4442-95E0-727E825B0CB0}"/>
    <cellStyle name="Currency 4 2 5 2 3 3" xfId="2128" xr:uid="{0DB33962-F8F8-4895-9928-22A7FB4B2F15}"/>
    <cellStyle name="Currency 4 2 5 2 3 4" xfId="2129" xr:uid="{9959C885-BC87-4304-82E7-CCDFF2917062}"/>
    <cellStyle name="Currency 4 2 5 2 3 5" xfId="2130" xr:uid="{ABD72782-5E73-44C0-A71A-3A2F69DB9556}"/>
    <cellStyle name="Currency 4 2 5 2 4" xfId="2131" xr:uid="{8C881824-968E-46ED-AA0B-2BEA425F5CFC}"/>
    <cellStyle name="Currency 4 2 5 2 4 2" xfId="2132" xr:uid="{4037F5F3-1CE3-4827-B840-02520A63DF12}"/>
    <cellStyle name="Currency 4 2 5 2 4 3" xfId="2133" xr:uid="{941B53B2-D854-4D18-B0ED-1C82D5C69AAF}"/>
    <cellStyle name="Currency 4 2 5 2 5" xfId="2134" xr:uid="{795D7D60-BA89-4F67-A610-23822B1A75CB}"/>
    <cellStyle name="Currency 4 2 5 2 6" xfId="2135" xr:uid="{1DBE3F52-C7B9-4162-912A-FCA064364714}"/>
    <cellStyle name="Currency 4 2 5 2 7" xfId="2136" xr:uid="{05248776-4A93-4B30-8FAF-500F77B922F0}"/>
    <cellStyle name="Currency 4 2 5 3" xfId="2137" xr:uid="{5623F186-AF7B-4EE5-B609-04903E81E448}"/>
    <cellStyle name="Currency 4 2 5 3 2" xfId="2138" xr:uid="{7FC64E31-058A-4DC4-8BF7-47EE6F6399A9}"/>
    <cellStyle name="Currency 4 2 5 3 2 2" xfId="2139" xr:uid="{49B31E87-DDD5-4EE6-A142-E8ED20163169}"/>
    <cellStyle name="Currency 4 2 5 3 2 3" xfId="2140" xr:uid="{14669D83-6186-4A9E-97CE-A8335CC9D0A8}"/>
    <cellStyle name="Currency 4 2 5 3 3" xfId="2141" xr:uid="{58A138CE-81DC-4697-B89C-24845EE557FC}"/>
    <cellStyle name="Currency 4 2 5 3 4" xfId="2142" xr:uid="{2353287C-3208-498B-AD1F-CC17B83F6913}"/>
    <cellStyle name="Currency 4 2 5 3 5" xfId="2143" xr:uid="{C1B0AFDE-F1DD-404D-AE6E-E3E781EDADDB}"/>
    <cellStyle name="Currency 4 2 5 4" xfId="2144" xr:uid="{BB85FED1-432E-4A5A-B204-870995DEAC8D}"/>
    <cellStyle name="Currency 4 2 5 4 2" xfId="2145" xr:uid="{9B58D899-3250-4545-AA98-E3B86D323F7E}"/>
    <cellStyle name="Currency 4 2 5 4 2 2" xfId="2146" xr:uid="{BFC1DE12-6AD1-4C78-8158-A9A1C3E30EC6}"/>
    <cellStyle name="Currency 4 2 5 4 2 3" xfId="2147" xr:uid="{317528A3-FD3A-4A40-9F40-9625892CDD41}"/>
    <cellStyle name="Currency 4 2 5 4 3" xfId="2148" xr:uid="{2BE13A70-DB0B-4401-9BA1-90A4119F6584}"/>
    <cellStyle name="Currency 4 2 5 4 4" xfId="2149" xr:uid="{C69E547A-401F-45FA-8810-350552ABF75E}"/>
    <cellStyle name="Currency 4 2 5 4 5" xfId="2150" xr:uid="{69284612-0AD4-4137-B48B-644F94875810}"/>
    <cellStyle name="Currency 4 2 5 5" xfId="2151" xr:uid="{F5F12F09-D0CD-417C-A542-34411FE9B0FB}"/>
    <cellStyle name="Currency 4 2 5 5 2" xfId="2152" xr:uid="{F476AED9-08F2-4750-87A2-89EBBB5CD9B6}"/>
    <cellStyle name="Currency 4 2 5 5 3" xfId="2153" xr:uid="{699BC7DE-46BF-4715-999A-073005BB3A04}"/>
    <cellStyle name="Currency 4 2 5 6" xfId="2154" xr:uid="{B41D0F24-0583-4CF3-98E6-7024FC871689}"/>
    <cellStyle name="Currency 4 2 5 7" xfId="2155" xr:uid="{E5C6216C-1DF3-4737-ACF8-BE7D26B06E14}"/>
    <cellStyle name="Currency 4 2 5 8" xfId="2156" xr:uid="{7AF9657C-BB41-49DD-9795-02FFA0F8A1E3}"/>
    <cellStyle name="Currency 4 2 6" xfId="2157" xr:uid="{E70C223A-75D4-45C2-A85E-631C7D40629D}"/>
    <cellStyle name="Currency 4 2 7" xfId="2158" xr:uid="{3A9C744D-CFB6-415C-8D75-D07015D79E25}"/>
    <cellStyle name="Currency 4 2 7 2" xfId="2159" xr:uid="{42414FF3-2CBC-441A-8174-6772C6409748}"/>
    <cellStyle name="Currency 4 2 7 2 2" xfId="2160" xr:uid="{5B3C6F39-1020-4A69-8561-01CBC67CC1A0}"/>
    <cellStyle name="Currency 4 2 7 2 2 2" xfId="2161" xr:uid="{9847B411-72B4-497D-8A43-E61456516737}"/>
    <cellStyle name="Currency 4 2 7 2 2 3" xfId="2162" xr:uid="{51E320DD-5EFF-4229-8246-B1AB1CC946E9}"/>
    <cellStyle name="Currency 4 2 7 2 3" xfId="2163" xr:uid="{4286060B-8186-45F9-AF31-37DB98537974}"/>
    <cellStyle name="Currency 4 2 7 2 4" xfId="2164" xr:uid="{04EFFF07-2C85-4448-ACBC-E51599B59164}"/>
    <cellStyle name="Currency 4 2 7 2 5" xfId="2165" xr:uid="{1CBEA92E-AFBB-41AB-A2AB-C6B3BB7F5910}"/>
    <cellStyle name="Currency 4 2 7 3" xfId="2166" xr:uid="{811A8ADF-873B-4307-8BB2-62A6B0DC7DD7}"/>
    <cellStyle name="Currency 4 2 7 3 2" xfId="2167" xr:uid="{57A74ED7-63F3-4DD8-B0F8-CF7552D41B2D}"/>
    <cellStyle name="Currency 4 2 7 3 2 2" xfId="2168" xr:uid="{59EB2E5C-7687-4622-91A9-8D433ED2B1CD}"/>
    <cellStyle name="Currency 4 2 7 3 2 3" xfId="2169" xr:uid="{EA245DDB-E728-41EC-B4B3-173D166DE7A5}"/>
    <cellStyle name="Currency 4 2 7 3 3" xfId="2170" xr:uid="{991D77F6-5380-442A-ADBB-FF73004356A3}"/>
    <cellStyle name="Currency 4 2 7 3 4" xfId="2171" xr:uid="{FB1E0305-35FB-4D55-A194-B7F671B7BB2D}"/>
    <cellStyle name="Currency 4 2 7 3 5" xfId="2172" xr:uid="{54B8A169-159C-4B40-8BC5-E96F800278D2}"/>
    <cellStyle name="Currency 4 2 7 4" xfId="2173" xr:uid="{3A68EE83-86F9-43DA-9224-664E6B114C02}"/>
    <cellStyle name="Currency 4 2 7 4 2" xfId="2174" xr:uid="{58BBA5B2-5764-47C7-8D49-ED4825537DD1}"/>
    <cellStyle name="Currency 4 2 7 4 3" xfId="2175" xr:uid="{06019ACD-838E-414D-AF91-92C3E7112317}"/>
    <cellStyle name="Currency 4 2 7 5" xfId="2176" xr:uid="{11CB6C30-FDB3-4E9F-AD64-AB0F50967969}"/>
    <cellStyle name="Currency 4 2 7 6" xfId="2177" xr:uid="{FB3A1A06-F181-4BED-ABF5-AF440D3EA50B}"/>
    <cellStyle name="Currency 4 2 7 7" xfId="2178" xr:uid="{129A6B06-421C-475F-941D-670BC545A7E2}"/>
    <cellStyle name="Currency 4 2 8" xfId="2179" xr:uid="{A94496AB-AD52-4F0D-8A49-A82239F4B569}"/>
    <cellStyle name="Currency 4 2 8 2" xfId="2180" xr:uid="{D4BAFC05-CCAE-4DF7-A511-0108A8FE8C5E}"/>
    <cellStyle name="Currency 4 2 8 2 2" xfId="2181" xr:uid="{B2BC1B15-8C7A-4A83-BE8B-BA9EE06F6E62}"/>
    <cellStyle name="Currency 4 2 8 2 3" xfId="2182" xr:uid="{DA5FB87C-3918-4CC0-8791-518CE5DDE60C}"/>
    <cellStyle name="Currency 4 2 8 3" xfId="2183" xr:uid="{7DC6726A-59C7-4F11-8BCF-9CA83875BFBC}"/>
    <cellStyle name="Currency 4 2 8 4" xfId="2184" xr:uid="{7363E03F-6BAE-4BD1-BE9C-BA7638A89D5D}"/>
    <cellStyle name="Currency 4 2 8 5" xfId="2185" xr:uid="{45A3F061-05DA-4089-AE9D-7A9B67A8D0CA}"/>
    <cellStyle name="Currency 4 2 9" xfId="2186" xr:uid="{62DA4481-5EF4-4E69-85CE-3302058D3E15}"/>
    <cellStyle name="Currency 4 2 9 2" xfId="2187" xr:uid="{0814D0BB-112F-4B33-8178-5835F1D1FA51}"/>
    <cellStyle name="Currency 4 2 9 2 2" xfId="2188" xr:uid="{E96602E0-CE33-4629-A483-76C0D7078669}"/>
    <cellStyle name="Currency 4 2 9 2 3" xfId="2189" xr:uid="{5DC7DC81-714A-46C4-B90E-8960CBEA5566}"/>
    <cellStyle name="Currency 4 2 9 3" xfId="2190" xr:uid="{2E1236A1-C1C7-40F1-BF83-3BC0C07D4393}"/>
    <cellStyle name="Currency 4 2 9 4" xfId="2191" xr:uid="{06566D02-8C5C-4B92-AF8D-9B664AE0AADA}"/>
    <cellStyle name="Currency 4 2 9 5" xfId="2192" xr:uid="{1E8CF4AC-E2CD-43D8-B164-1306AC62D2E7}"/>
    <cellStyle name="Currency 4 3" xfId="251" xr:uid="{00000000-0005-0000-0000-000021010000}"/>
    <cellStyle name="Currency 4 3 10" xfId="2193" xr:uid="{2DC16E6C-EC9C-496B-BF40-E1C2F2289B09}"/>
    <cellStyle name="Currency 4 3 2" xfId="252" xr:uid="{00000000-0005-0000-0000-000022010000}"/>
    <cellStyle name="Currency 4 3 2 2" xfId="2195" xr:uid="{254C0AE8-8785-4B70-9942-3E043189A610}"/>
    <cellStyle name="Currency 4 3 2 2 2" xfId="2196" xr:uid="{21067DF6-07E9-4326-A737-0B0D021A3FFC}"/>
    <cellStyle name="Currency 4 3 2 2 2 2" xfId="2197" xr:uid="{7EC02FF5-984F-40FD-9E69-B0FBA1202775}"/>
    <cellStyle name="Currency 4 3 2 2 2 2 2" xfId="2198" xr:uid="{6EFA4194-5E55-4E7A-8059-59BE6D7440A5}"/>
    <cellStyle name="Currency 4 3 2 2 2 2 3" xfId="2199" xr:uid="{BFE45598-8C41-4A66-BCD4-142E28FF3624}"/>
    <cellStyle name="Currency 4 3 2 2 2 3" xfId="2200" xr:uid="{DCCC87B3-E84D-4F20-A1C6-BD461EB17DEA}"/>
    <cellStyle name="Currency 4 3 2 2 2 4" xfId="2201" xr:uid="{40F5DEDF-D31E-466D-A79E-A84C30EABC39}"/>
    <cellStyle name="Currency 4 3 2 2 2 5" xfId="2202" xr:uid="{D512F6C9-F589-4397-842D-4EF3A1EE93EB}"/>
    <cellStyle name="Currency 4 3 2 2 3" xfId="2203" xr:uid="{D0D0823C-5A64-44CA-BF85-DB441A32C692}"/>
    <cellStyle name="Currency 4 3 2 2 3 2" xfId="2204" xr:uid="{24007E7E-EBCE-4EF7-85E6-1A0EE8E218AE}"/>
    <cellStyle name="Currency 4 3 2 2 3 2 2" xfId="2205" xr:uid="{E3851BF5-C8E4-40DC-BB96-F2F6EF8BA51C}"/>
    <cellStyle name="Currency 4 3 2 2 3 2 3" xfId="2206" xr:uid="{F1681BB6-D105-42B4-86AE-B6C36600C4BE}"/>
    <cellStyle name="Currency 4 3 2 2 3 3" xfId="2207" xr:uid="{0173C0A5-7DBB-4CA8-9A70-C2B19E0AE358}"/>
    <cellStyle name="Currency 4 3 2 2 3 4" xfId="2208" xr:uid="{0B19C2AE-261C-4D97-91FA-A20E88A4B74F}"/>
    <cellStyle name="Currency 4 3 2 2 3 5" xfId="2209" xr:uid="{205BD58E-0343-4CB4-82D2-2D69CD50DF84}"/>
    <cellStyle name="Currency 4 3 2 2 4" xfId="2210" xr:uid="{1CE9BB4A-58BE-478D-850A-5304B755EBAF}"/>
    <cellStyle name="Currency 4 3 2 2 4 2" xfId="2211" xr:uid="{41D1A018-2D76-403E-BBD7-8B400CCE85E4}"/>
    <cellStyle name="Currency 4 3 2 2 4 3" xfId="2212" xr:uid="{94544926-86EC-4D67-B633-2A4201B618D5}"/>
    <cellStyle name="Currency 4 3 2 2 5" xfId="2213" xr:uid="{C4F40794-9161-4B8F-8725-F1DE89038F72}"/>
    <cellStyle name="Currency 4 3 2 2 6" xfId="2214" xr:uid="{28C2DBDA-AF6B-4E29-9010-5469C383221B}"/>
    <cellStyle name="Currency 4 3 2 2 7" xfId="2215" xr:uid="{4383C045-56D3-4EFA-AD84-B1E8877D2B2E}"/>
    <cellStyle name="Currency 4 3 2 3" xfId="2216" xr:uid="{203BA8C6-B96A-423E-8478-355F9B1A10B1}"/>
    <cellStyle name="Currency 4 3 2 3 2" xfId="2217" xr:uid="{3E0C53EF-C198-4147-A5C7-9FF454BC2716}"/>
    <cellStyle name="Currency 4 3 2 3 2 2" xfId="2218" xr:uid="{85D3328A-C02A-42E8-A6A8-CAFA70620060}"/>
    <cellStyle name="Currency 4 3 2 3 2 3" xfId="2219" xr:uid="{9CB44863-188A-4E3D-A7D1-F19591860716}"/>
    <cellStyle name="Currency 4 3 2 3 3" xfId="2220" xr:uid="{EC9DADAD-1C74-4665-90C7-019AA7EC8EEC}"/>
    <cellStyle name="Currency 4 3 2 3 4" xfId="2221" xr:uid="{D6CEE532-E8A6-481A-A05A-1062AA9338A2}"/>
    <cellStyle name="Currency 4 3 2 3 5" xfId="2222" xr:uid="{72FE98A9-8010-4068-A8A3-02E919B44D03}"/>
    <cellStyle name="Currency 4 3 2 4" xfId="2223" xr:uid="{44F3D98C-7C3E-4029-A7ED-3E20729DB442}"/>
    <cellStyle name="Currency 4 3 2 4 2" xfId="2224" xr:uid="{4AFFE493-A3AB-453B-A1B6-2589FBCE2E3F}"/>
    <cellStyle name="Currency 4 3 2 4 2 2" xfId="2225" xr:uid="{3908D8DB-C4A9-48F6-BAA3-C8D13FDFB3F0}"/>
    <cellStyle name="Currency 4 3 2 4 2 3" xfId="2226" xr:uid="{D3DAD3A7-04F7-4DD2-8473-91E8EF0ECB01}"/>
    <cellStyle name="Currency 4 3 2 4 3" xfId="2227" xr:uid="{9765AA64-5A92-49E1-9D7E-DDAFE808D9ED}"/>
    <cellStyle name="Currency 4 3 2 4 4" xfId="2228" xr:uid="{CD284CB1-1E24-49AF-8796-6DDD4112CE26}"/>
    <cellStyle name="Currency 4 3 2 4 5" xfId="2229" xr:uid="{D0A58286-A488-4A56-B86D-C1BA62336209}"/>
    <cellStyle name="Currency 4 3 2 5" xfId="2230" xr:uid="{79A7CD43-F4B9-4CA0-876D-FBB3156D6B8F}"/>
    <cellStyle name="Currency 4 3 2 5 2" xfId="2231" xr:uid="{91FE5F43-1323-48CB-925D-B9C28B0F9019}"/>
    <cellStyle name="Currency 4 3 2 5 3" xfId="2232" xr:uid="{77E139A8-E6F9-4C4D-B9BE-55AB88BA811B}"/>
    <cellStyle name="Currency 4 3 2 6" xfId="2233" xr:uid="{7ED559A9-757A-488F-AA52-5ECD15AA7102}"/>
    <cellStyle name="Currency 4 3 2 7" xfId="2234" xr:uid="{B780470B-0562-44D4-B7BC-8514CF914C39}"/>
    <cellStyle name="Currency 4 3 2 8" xfId="2235" xr:uid="{A44781B9-7DF7-4058-BD6A-55D9CDB85CF4}"/>
    <cellStyle name="Currency 4 3 2 9" xfId="2194" xr:uid="{F8EB56F0-1F8C-4655-A122-CEE38A9E9860}"/>
    <cellStyle name="Currency 4 3 3" xfId="481" xr:uid="{00000000-0005-0000-0000-000023010000}"/>
    <cellStyle name="Currency 4 3 3 2" xfId="2237" xr:uid="{23815A3A-F2BC-413E-8C3F-3ECFC8F693F9}"/>
    <cellStyle name="Currency 4 3 3 2 2" xfId="2238" xr:uid="{5AB566ED-F2FF-4C6E-B1DA-5AB2AFB10C7A}"/>
    <cellStyle name="Currency 4 3 3 2 2 2" xfId="2239" xr:uid="{8B6B7048-3F69-40C3-BA96-7B0BC2A5E059}"/>
    <cellStyle name="Currency 4 3 3 2 2 3" xfId="2240" xr:uid="{07721037-D50C-4535-8337-BCC4E21ED253}"/>
    <cellStyle name="Currency 4 3 3 2 3" xfId="2241" xr:uid="{59F87686-79BC-4DB6-950A-F2076289076D}"/>
    <cellStyle name="Currency 4 3 3 2 4" xfId="2242" xr:uid="{D6F7B05C-7AF5-4A6A-8427-69DDCF8DF7D2}"/>
    <cellStyle name="Currency 4 3 3 2 5" xfId="2243" xr:uid="{F9845155-920B-40F5-8A18-3B7BD7A65C29}"/>
    <cellStyle name="Currency 4 3 3 3" xfId="2244" xr:uid="{D62EF6EC-306C-4023-9F1D-26CA43683437}"/>
    <cellStyle name="Currency 4 3 3 3 2" xfId="2245" xr:uid="{F605CF09-E5A2-41BF-92D3-D94EA816C91C}"/>
    <cellStyle name="Currency 4 3 3 3 2 2" xfId="2246" xr:uid="{F6B88332-3034-4A27-B35D-6230161226A8}"/>
    <cellStyle name="Currency 4 3 3 3 2 3" xfId="2247" xr:uid="{2E8176B9-6570-498F-A7C7-74BB7676ACE8}"/>
    <cellStyle name="Currency 4 3 3 3 3" xfId="2248" xr:uid="{E83A955F-0E63-4E50-8049-F3D67A43FCDE}"/>
    <cellStyle name="Currency 4 3 3 3 4" xfId="2249" xr:uid="{B4DA1494-168F-45FE-9151-3D66376876E2}"/>
    <cellStyle name="Currency 4 3 3 3 5" xfId="2250" xr:uid="{9452D976-712D-4375-9668-82BBF1D676F9}"/>
    <cellStyle name="Currency 4 3 3 4" xfId="2251" xr:uid="{23E9792A-9EA3-42FD-B31A-4F5058974544}"/>
    <cellStyle name="Currency 4 3 3 4 2" xfId="2252" xr:uid="{BFCB82E3-8C2D-430B-8BE0-80BB3B2B6D37}"/>
    <cellStyle name="Currency 4 3 3 4 3" xfId="2253" xr:uid="{C1FA4760-9951-4116-8E46-F3CB2913AC30}"/>
    <cellStyle name="Currency 4 3 3 5" xfId="2254" xr:uid="{879723E0-BDDB-474C-8191-4E03F09F9F34}"/>
    <cellStyle name="Currency 4 3 3 6" xfId="2255" xr:uid="{7ED0DB14-4F4D-472A-9385-D396421D5347}"/>
    <cellStyle name="Currency 4 3 3 7" xfId="2256" xr:uid="{FF67BC89-F417-4F6B-9BAC-170ADB6882FB}"/>
    <cellStyle name="Currency 4 3 3 8" xfId="2236" xr:uid="{88370A63-0E95-4564-8E4F-B13444EE9779}"/>
    <cellStyle name="Currency 4 3 4" xfId="2257" xr:uid="{A49B5A94-A477-43C2-AF70-587A84893FCD}"/>
    <cellStyle name="Currency 4 3 4 2" xfId="2258" xr:uid="{0FCD2F38-E7EE-4F1A-AF2D-DEDC4A978E2B}"/>
    <cellStyle name="Currency 4 3 4 2 2" xfId="2259" xr:uid="{BC3B27FA-CFEE-4935-B392-1543EE69CD2C}"/>
    <cellStyle name="Currency 4 3 4 2 3" xfId="2260" xr:uid="{D40B7403-4B66-40FD-A8B4-3D74AD291472}"/>
    <cellStyle name="Currency 4 3 4 3" xfId="2261" xr:uid="{E21688D2-7AC3-4572-B4E6-4D3B84864AE1}"/>
    <cellStyle name="Currency 4 3 4 4" xfId="2262" xr:uid="{603AF0F5-4B60-4B32-8C0E-FF57BA5EE123}"/>
    <cellStyle name="Currency 4 3 4 5" xfId="2263" xr:uid="{1CC2A2A4-B38E-4D0B-A0F1-575E977E15D4}"/>
    <cellStyle name="Currency 4 3 5" xfId="2264" xr:uid="{05302498-7F90-4D73-9356-78AB886E11E7}"/>
    <cellStyle name="Currency 4 3 5 2" xfId="2265" xr:uid="{04081EBC-F2B4-4626-98DD-BD58249F3FDF}"/>
    <cellStyle name="Currency 4 3 5 2 2" xfId="2266" xr:uid="{BE784BFB-89A8-4FF0-9DB6-4A9AF327A97E}"/>
    <cellStyle name="Currency 4 3 5 2 3" xfId="2267" xr:uid="{2B58D7D0-7ABD-4BE1-A5AA-AC2613049CDB}"/>
    <cellStyle name="Currency 4 3 5 3" xfId="2268" xr:uid="{7AAD9530-DFAC-4257-8282-7F586E712C46}"/>
    <cellStyle name="Currency 4 3 5 4" xfId="2269" xr:uid="{F47A5E94-B534-466C-9CCF-3804B5C5B038}"/>
    <cellStyle name="Currency 4 3 5 5" xfId="2270" xr:uid="{47BF0725-9E4D-45B8-8342-5F3C299E285F}"/>
    <cellStyle name="Currency 4 3 6" xfId="2271" xr:uid="{22F8CF56-DDAC-41D3-B7F4-8558947671FE}"/>
    <cellStyle name="Currency 4 3 6 2" xfId="2272" xr:uid="{575DC45E-BEC9-44C9-B722-4B0A79398D76}"/>
    <cellStyle name="Currency 4 3 6 3" xfId="2273" xr:uid="{4CFA3351-8E87-43E3-B6A1-A5FA187C6B17}"/>
    <cellStyle name="Currency 4 3 7" xfId="2274" xr:uid="{2CD908C9-6788-4E34-B645-486C9E2C5745}"/>
    <cellStyle name="Currency 4 3 8" xfId="2275" xr:uid="{A07A719C-4A59-4A11-AAB8-0B9F30B224DD}"/>
    <cellStyle name="Currency 4 3 9" xfId="2276" xr:uid="{DA1D482D-C8EC-415A-ACA3-8E96EACFB25C}"/>
    <cellStyle name="Currency 4 4" xfId="2277" xr:uid="{0D0CB05F-8BCA-48C3-96F9-344A6D29DAFE}"/>
    <cellStyle name="Currency 4 4 2" xfId="2278" xr:uid="{E8211508-B366-4B92-A3A9-C1C25287BBA3}"/>
    <cellStyle name="Currency 4 4 2 2" xfId="2279" xr:uid="{FB45F6CC-1F73-48B9-BA33-40FB07BAC765}"/>
    <cellStyle name="Currency 4 4 2 2 2" xfId="2280" xr:uid="{96195FF9-AD9F-421D-877B-C2ABCE4C997F}"/>
    <cellStyle name="Currency 4 4 2 2 2 2" xfId="2281" xr:uid="{163C98A7-F144-4CE7-8B66-FD6A2194AF1E}"/>
    <cellStyle name="Currency 4 4 2 2 2 2 2" xfId="2282" xr:uid="{300B4DC0-7D59-4E71-ADFA-78A4BBDBA5A1}"/>
    <cellStyle name="Currency 4 4 2 2 2 2 3" xfId="2283" xr:uid="{768D575C-E86C-4080-8FF4-381377A95041}"/>
    <cellStyle name="Currency 4 4 2 2 2 3" xfId="2284" xr:uid="{E3B6F526-DCE6-4B7C-9349-321A0E524207}"/>
    <cellStyle name="Currency 4 4 2 2 2 4" xfId="2285" xr:uid="{01E2740B-DF4A-493A-8561-B2C5E52AF6C5}"/>
    <cellStyle name="Currency 4 4 2 2 2 5" xfId="2286" xr:uid="{99095288-1126-49E6-903E-72B2EF661F53}"/>
    <cellStyle name="Currency 4 4 2 2 3" xfId="2287" xr:uid="{58324F9C-51A1-4121-BEA9-AA97C80E922D}"/>
    <cellStyle name="Currency 4 4 2 2 3 2" xfId="2288" xr:uid="{BC7FA93B-5048-4BEF-9670-E51C8B209301}"/>
    <cellStyle name="Currency 4 4 2 2 3 2 2" xfId="2289" xr:uid="{94AB359F-6614-4328-99D2-F0D3AFDA8260}"/>
    <cellStyle name="Currency 4 4 2 2 3 2 3" xfId="2290" xr:uid="{3085CD18-68DF-4450-B39C-803DFC1255B9}"/>
    <cellStyle name="Currency 4 4 2 2 3 3" xfId="2291" xr:uid="{AE6FA0D6-F785-40E2-B22E-E74E8A118150}"/>
    <cellStyle name="Currency 4 4 2 2 3 4" xfId="2292" xr:uid="{CF212935-3B15-4ECD-A3F4-08B675EE10DC}"/>
    <cellStyle name="Currency 4 4 2 2 3 5" xfId="2293" xr:uid="{0E7117A7-BB03-440A-BA3D-15282E06B4D6}"/>
    <cellStyle name="Currency 4 4 2 2 4" xfId="2294" xr:uid="{53256A4A-B8A3-46E0-BBAB-EC43DB646C01}"/>
    <cellStyle name="Currency 4 4 2 2 4 2" xfId="2295" xr:uid="{35FF9AC3-5536-4F2A-83AA-3AF543EA7F25}"/>
    <cellStyle name="Currency 4 4 2 2 4 3" xfId="2296" xr:uid="{DA7A83BD-DFEB-4B92-9623-B2148A42B3A5}"/>
    <cellStyle name="Currency 4 4 2 2 5" xfId="2297" xr:uid="{A8A841C3-8502-4688-B681-7D2C64068016}"/>
    <cellStyle name="Currency 4 4 2 2 6" xfId="2298" xr:uid="{0DC9B5DB-EFCA-4963-BC90-3A95DAC74716}"/>
    <cellStyle name="Currency 4 4 2 2 7" xfId="2299" xr:uid="{9293AFA9-64C1-4F9C-9B9A-4DDE9EA64537}"/>
    <cellStyle name="Currency 4 4 2 3" xfId="2300" xr:uid="{99CADDB2-71A2-44E7-BFC9-12FA78937C63}"/>
    <cellStyle name="Currency 4 4 2 3 2" xfId="2301" xr:uid="{17527277-616F-421E-A384-57873BEF1F66}"/>
    <cellStyle name="Currency 4 4 2 3 2 2" xfId="2302" xr:uid="{C063A9FC-D8E4-405D-91E0-B039C36F147C}"/>
    <cellStyle name="Currency 4 4 2 3 2 3" xfId="2303" xr:uid="{8A740990-CE3A-4D6F-86F9-2E481086E64F}"/>
    <cellStyle name="Currency 4 4 2 3 3" xfId="2304" xr:uid="{6D9625B3-617A-449C-984E-FF64B20B65F2}"/>
    <cellStyle name="Currency 4 4 2 3 4" xfId="2305" xr:uid="{8D92DFFE-2906-430C-BAF0-168F11FBF118}"/>
    <cellStyle name="Currency 4 4 2 3 5" xfId="2306" xr:uid="{CB640C4E-117A-4ED3-821E-590BD696F115}"/>
    <cellStyle name="Currency 4 4 2 4" xfId="2307" xr:uid="{422C77FE-F04A-477F-AF5F-9DF43F0E7B94}"/>
    <cellStyle name="Currency 4 4 2 4 2" xfId="2308" xr:uid="{D45E919A-9461-4C4B-BB8D-5751E47406BC}"/>
    <cellStyle name="Currency 4 4 2 4 2 2" xfId="2309" xr:uid="{4662DC52-F9B0-406A-8F6C-2693B0270465}"/>
    <cellStyle name="Currency 4 4 2 4 2 3" xfId="2310" xr:uid="{81F650BB-3F5F-4E0E-9B58-6A2FB6A185A0}"/>
    <cellStyle name="Currency 4 4 2 4 3" xfId="2311" xr:uid="{A5365BD1-3440-401B-8812-97DA907CC028}"/>
    <cellStyle name="Currency 4 4 2 4 4" xfId="2312" xr:uid="{E5E53C47-518A-4DAC-A729-17B2466A29BD}"/>
    <cellStyle name="Currency 4 4 2 4 5" xfId="2313" xr:uid="{132945CE-2C01-470E-B409-1495723506BA}"/>
    <cellStyle name="Currency 4 4 2 5" xfId="2314" xr:uid="{9A29CD91-6584-4908-A791-63DDCF2729F3}"/>
    <cellStyle name="Currency 4 4 2 5 2" xfId="2315" xr:uid="{3F90D651-BF4F-4CF1-A61C-4F4AA8669087}"/>
    <cellStyle name="Currency 4 4 2 5 3" xfId="2316" xr:uid="{3D81CB50-8DDA-4A9E-A6FD-39914828334D}"/>
    <cellStyle name="Currency 4 4 2 6" xfId="2317" xr:uid="{99DAB130-1303-46B2-8727-549E7266D0BA}"/>
    <cellStyle name="Currency 4 4 2 7" xfId="2318" xr:uid="{5BFBF598-3495-42DF-8055-A53475EE3F30}"/>
    <cellStyle name="Currency 4 4 2 8" xfId="2319" xr:uid="{76A85364-FA0C-42AA-B66F-EE5D972205F9}"/>
    <cellStyle name="Currency 4 4 3" xfId="2320" xr:uid="{8F9DD4BB-BB3E-494B-977C-D4818FBFF272}"/>
    <cellStyle name="Currency 4 4 3 2" xfId="2321" xr:uid="{9BE51972-CF99-404D-A1BD-635E82DC19AE}"/>
    <cellStyle name="Currency 4 4 3 2 2" xfId="2322" xr:uid="{16D0750A-5CA4-4375-8DDE-3F38FE5C2086}"/>
    <cellStyle name="Currency 4 4 3 2 2 2" xfId="2323" xr:uid="{A4C00780-6E07-44B1-9B7F-E5ECC6DF12DE}"/>
    <cellStyle name="Currency 4 4 3 2 2 3" xfId="2324" xr:uid="{80A99289-E995-4055-BA1E-1FBB998D95F9}"/>
    <cellStyle name="Currency 4 4 3 2 3" xfId="2325" xr:uid="{72089B66-FA7D-427F-A309-C0D3D11C8725}"/>
    <cellStyle name="Currency 4 4 3 2 4" xfId="2326" xr:uid="{1F2607EE-587C-4EF4-AAA8-29328565FF4C}"/>
    <cellStyle name="Currency 4 4 3 2 5" xfId="2327" xr:uid="{4DE4AA47-1110-4E15-870F-58BAE2FB62FB}"/>
    <cellStyle name="Currency 4 4 3 3" xfId="2328" xr:uid="{415B602F-43B1-4C42-BA5C-EA7A01528C2D}"/>
    <cellStyle name="Currency 4 4 3 3 2" xfId="2329" xr:uid="{6A0530DD-912C-4ABB-8C1C-1FE9A41EB4A1}"/>
    <cellStyle name="Currency 4 4 3 3 2 2" xfId="2330" xr:uid="{D19D9A91-4A72-44D2-B192-A721980EEED1}"/>
    <cellStyle name="Currency 4 4 3 3 2 3" xfId="2331" xr:uid="{A8140657-7898-44B0-987C-4110C53A8CC5}"/>
    <cellStyle name="Currency 4 4 3 3 3" xfId="2332" xr:uid="{A63080CC-5DD3-4DDF-BE32-18F9AF440D40}"/>
    <cellStyle name="Currency 4 4 3 3 4" xfId="2333" xr:uid="{91CC12C3-CC1F-4D19-8939-EF9B80AEB123}"/>
    <cellStyle name="Currency 4 4 3 3 5" xfId="2334" xr:uid="{C333D258-7092-4DF0-B630-3108230AFF27}"/>
    <cellStyle name="Currency 4 4 3 4" xfId="2335" xr:uid="{4762F3ED-8A2A-4CA5-AC44-449750058063}"/>
    <cellStyle name="Currency 4 4 3 4 2" xfId="2336" xr:uid="{9457EE36-0D09-4A5B-A062-4EC25755D129}"/>
    <cellStyle name="Currency 4 4 3 4 3" xfId="2337" xr:uid="{ED38360D-5A4D-4514-98D1-AA10BDE0D77D}"/>
    <cellStyle name="Currency 4 4 3 5" xfId="2338" xr:uid="{2F92CCF6-E018-4187-9C07-8C9849D28D0F}"/>
    <cellStyle name="Currency 4 4 3 6" xfId="2339" xr:uid="{8A4FF1F4-8750-4148-AF8E-A9B182229B68}"/>
    <cellStyle name="Currency 4 4 3 7" xfId="2340" xr:uid="{DDCA5BA8-C495-495A-A4BE-2114C8CD9EB8}"/>
    <cellStyle name="Currency 4 4 4" xfId="2341" xr:uid="{CD180F18-E583-4338-A07B-B72793E60307}"/>
    <cellStyle name="Currency 4 4 4 2" xfId="2342" xr:uid="{59F74416-ECD2-413D-BA55-C985E637C865}"/>
    <cellStyle name="Currency 4 4 4 2 2" xfId="2343" xr:uid="{E47D2CD3-71AC-4558-BA87-415FD172D0DA}"/>
    <cellStyle name="Currency 4 4 4 2 3" xfId="2344" xr:uid="{5C2DB862-9A95-4589-9383-8EB86113D9C2}"/>
    <cellStyle name="Currency 4 4 4 3" xfId="2345" xr:uid="{00755307-5E80-49F8-91A0-1712F19246B1}"/>
    <cellStyle name="Currency 4 4 4 4" xfId="2346" xr:uid="{5BF58F46-B161-487D-BDC8-855C85210F3B}"/>
    <cellStyle name="Currency 4 4 4 5" xfId="2347" xr:uid="{D980E2D3-28CC-40B9-901F-159286F93F0D}"/>
    <cellStyle name="Currency 4 4 5" xfId="2348" xr:uid="{38FD6C58-8BE1-408E-984B-0D46F20711E7}"/>
    <cellStyle name="Currency 4 4 5 2" xfId="2349" xr:uid="{1E10FC36-BF0E-4CC0-96D7-E80C68FF565C}"/>
    <cellStyle name="Currency 4 4 5 2 2" xfId="2350" xr:uid="{8768ED9C-CA86-4D15-96A4-DBDEBE4A4461}"/>
    <cellStyle name="Currency 4 4 5 2 3" xfId="2351" xr:uid="{C167AA8B-F14C-49EE-B74B-61CF56BE7FD2}"/>
    <cellStyle name="Currency 4 4 5 3" xfId="2352" xr:uid="{114540A9-62CE-40E5-8B46-493CF74B7768}"/>
    <cellStyle name="Currency 4 4 5 4" xfId="2353" xr:uid="{634862B1-B898-4E5B-95B7-C45DA3081320}"/>
    <cellStyle name="Currency 4 4 5 5" xfId="2354" xr:uid="{CB10E946-A567-4D1A-A8A0-03100C6E8094}"/>
    <cellStyle name="Currency 4 4 6" xfId="2355" xr:uid="{4FCE2412-8BD6-4908-B551-C1094BEB0CFD}"/>
    <cellStyle name="Currency 4 4 6 2" xfId="2356" xr:uid="{2B22B5C5-06AF-4B6A-8DF7-43B112BF3658}"/>
    <cellStyle name="Currency 4 4 6 3" xfId="2357" xr:uid="{33D197B1-2CD6-48E6-8096-8E29FC7E5512}"/>
    <cellStyle name="Currency 4 4 7" xfId="2358" xr:uid="{5A9446A4-96F7-4DDF-87EF-BE6D87298285}"/>
    <cellStyle name="Currency 4 4 8" xfId="2359" xr:uid="{3EAAF586-B2AB-4A56-90F6-EFF55AAD71E4}"/>
    <cellStyle name="Currency 4 4 9" xfId="2360" xr:uid="{76C8FD1C-F678-4552-821E-9A3AA6A8415A}"/>
    <cellStyle name="Currency 4 5" xfId="2361" xr:uid="{8DE19DCB-4D50-4669-BFDB-58583A9EAD53}"/>
    <cellStyle name="Currency 4 5 2" xfId="2362" xr:uid="{1F55DBF5-7B3D-4172-AE83-E76A5ACA1FCD}"/>
    <cellStyle name="Currency 4 5 2 2" xfId="2363" xr:uid="{CF1124BA-18A2-4602-A193-92E24AE5769F}"/>
    <cellStyle name="Currency 4 5 2 2 2" xfId="2364" xr:uid="{0C3A4D22-E299-4B12-883D-471CC1CFB42B}"/>
    <cellStyle name="Currency 4 5 2 2 2 2" xfId="2365" xr:uid="{117FF799-985F-49F8-98DC-82D989EFB047}"/>
    <cellStyle name="Currency 4 5 2 2 2 2 2" xfId="2366" xr:uid="{010C12D7-D89C-494F-BBDA-20772109FDED}"/>
    <cellStyle name="Currency 4 5 2 2 2 2 3" xfId="2367" xr:uid="{A4CE8024-1D7C-4F78-B7D0-378A2B013D63}"/>
    <cellStyle name="Currency 4 5 2 2 2 3" xfId="2368" xr:uid="{CD6FFB32-AD31-421A-85E2-CB6077183A6F}"/>
    <cellStyle name="Currency 4 5 2 2 2 4" xfId="2369" xr:uid="{869C0F03-696D-4120-925C-4DCBF1D870C8}"/>
    <cellStyle name="Currency 4 5 2 2 2 5" xfId="2370" xr:uid="{8D968F8B-06AC-4CD7-AACD-9B366105C17B}"/>
    <cellStyle name="Currency 4 5 2 2 3" xfId="2371" xr:uid="{B87394FE-F566-4E99-99D1-9674388824F6}"/>
    <cellStyle name="Currency 4 5 2 2 3 2" xfId="2372" xr:uid="{C8C84ED3-B797-4F2A-9DD2-1DA23931B899}"/>
    <cellStyle name="Currency 4 5 2 2 3 2 2" xfId="2373" xr:uid="{6C9381AD-C64A-4D27-8F3E-281B79ADA3AF}"/>
    <cellStyle name="Currency 4 5 2 2 3 2 3" xfId="2374" xr:uid="{B68616FB-86B9-4A43-8C7B-519C5A5807C9}"/>
    <cellStyle name="Currency 4 5 2 2 3 3" xfId="2375" xr:uid="{CE95838B-7657-4A07-A1F0-788E11DBF44D}"/>
    <cellStyle name="Currency 4 5 2 2 3 4" xfId="2376" xr:uid="{27DD55E1-3CA2-457E-90D8-8141443343A1}"/>
    <cellStyle name="Currency 4 5 2 2 3 5" xfId="2377" xr:uid="{E10A843B-2579-492C-A7E8-CC370933EEE1}"/>
    <cellStyle name="Currency 4 5 2 2 4" xfId="2378" xr:uid="{36947104-60C0-4DDB-9BEA-0F256FAA97A0}"/>
    <cellStyle name="Currency 4 5 2 2 4 2" xfId="2379" xr:uid="{40143CDC-0B8F-473B-B19F-375F40FF3285}"/>
    <cellStyle name="Currency 4 5 2 2 4 3" xfId="2380" xr:uid="{F93291B1-73B2-4158-81C9-4ABD3D26E2B4}"/>
    <cellStyle name="Currency 4 5 2 2 5" xfId="2381" xr:uid="{17E6FB3A-E78B-40F7-A987-4E31CF81D53D}"/>
    <cellStyle name="Currency 4 5 2 2 6" xfId="2382" xr:uid="{599CE779-EFE2-4FBE-BE9D-5F3B99532D57}"/>
    <cellStyle name="Currency 4 5 2 2 7" xfId="2383" xr:uid="{FE0095AC-D884-4C82-BBB8-ED113AD8DE34}"/>
    <cellStyle name="Currency 4 5 2 3" xfId="2384" xr:uid="{C89F7D36-5EE8-4263-B5ED-3ECDE8C99E74}"/>
    <cellStyle name="Currency 4 5 2 3 2" xfId="2385" xr:uid="{292E1CF9-64A2-4312-8447-67D0A5A2B455}"/>
    <cellStyle name="Currency 4 5 2 3 2 2" xfId="2386" xr:uid="{C1D4457A-B83A-46CC-855E-53CEBDE446C0}"/>
    <cellStyle name="Currency 4 5 2 3 2 3" xfId="2387" xr:uid="{B5958460-F99A-4C35-BEB6-A39F991F32DD}"/>
    <cellStyle name="Currency 4 5 2 3 3" xfId="2388" xr:uid="{EE08CE87-6826-41E2-957D-401F73C7F5E0}"/>
    <cellStyle name="Currency 4 5 2 3 4" xfId="2389" xr:uid="{C3AB2A4C-44AE-4369-A66A-C8E921440613}"/>
    <cellStyle name="Currency 4 5 2 3 5" xfId="2390" xr:uid="{158A7556-04BA-4D98-AE78-EB70B9914051}"/>
    <cellStyle name="Currency 4 5 2 4" xfId="2391" xr:uid="{81DB2241-2726-426F-A7FE-0EB6A750FBC0}"/>
    <cellStyle name="Currency 4 5 2 4 2" xfId="2392" xr:uid="{70057C76-1073-49C4-B328-AD59C5977BEC}"/>
    <cellStyle name="Currency 4 5 2 4 2 2" xfId="2393" xr:uid="{2773E72E-E618-4E59-8591-5B467A259705}"/>
    <cellStyle name="Currency 4 5 2 4 2 3" xfId="2394" xr:uid="{2D9AD0F9-68C8-4F6C-8A94-9749A1257953}"/>
    <cellStyle name="Currency 4 5 2 4 3" xfId="2395" xr:uid="{1F205ED9-E9BA-41CE-A69F-D157F2E9570D}"/>
    <cellStyle name="Currency 4 5 2 4 4" xfId="2396" xr:uid="{DB6AA60C-250E-4C7D-8283-9130FB8AD893}"/>
    <cellStyle name="Currency 4 5 2 4 5" xfId="2397" xr:uid="{EBE75676-9913-4D9C-9F78-5638CB254784}"/>
    <cellStyle name="Currency 4 5 2 5" xfId="2398" xr:uid="{C8202DDC-86FD-4A75-91BF-2B6B82F7264D}"/>
    <cellStyle name="Currency 4 5 2 5 2" xfId="2399" xr:uid="{A99799B1-44BE-420E-9281-65CF8341006A}"/>
    <cellStyle name="Currency 4 5 2 5 3" xfId="2400" xr:uid="{2B2C66C3-A073-4619-8989-C4F67D682EEE}"/>
    <cellStyle name="Currency 4 5 2 6" xfId="2401" xr:uid="{01177E31-1CB7-464D-A1E9-18CE6290832E}"/>
    <cellStyle name="Currency 4 5 2 7" xfId="2402" xr:uid="{BEE90A33-3268-43A8-AC09-074A46C8C39C}"/>
    <cellStyle name="Currency 4 5 2 8" xfId="2403" xr:uid="{BF83465B-781B-41F7-959F-B9943B570AAE}"/>
    <cellStyle name="Currency 4 5 3" xfId="2404" xr:uid="{36DC2BC9-A710-41BD-8043-10F11C1C1848}"/>
    <cellStyle name="Currency 4 5 3 2" xfId="2405" xr:uid="{35E16754-6FC0-4030-89C3-7A6D6ACCE250}"/>
    <cellStyle name="Currency 4 5 3 2 2" xfId="2406" xr:uid="{43E05FFF-62D2-4F92-BF34-8887F93B57BB}"/>
    <cellStyle name="Currency 4 5 3 2 2 2" xfId="2407" xr:uid="{2871BAB0-041B-4734-86EE-237565B22F89}"/>
    <cellStyle name="Currency 4 5 3 2 2 3" xfId="2408" xr:uid="{0D309B72-77B9-4E8F-AABF-18A20AF620B2}"/>
    <cellStyle name="Currency 4 5 3 2 3" xfId="2409" xr:uid="{B4D6AC31-F325-4749-B24F-6395F2F18D6D}"/>
    <cellStyle name="Currency 4 5 3 2 4" xfId="2410" xr:uid="{D667D6D9-903B-4E6D-9615-5A73A72EB7A8}"/>
    <cellStyle name="Currency 4 5 3 2 5" xfId="2411" xr:uid="{FDD5D696-490E-4440-8B28-82D696FAA370}"/>
    <cellStyle name="Currency 4 5 3 3" xfId="2412" xr:uid="{B01BBEE4-B096-4E53-B9C8-4795BBD8C6A7}"/>
    <cellStyle name="Currency 4 5 3 3 2" xfId="2413" xr:uid="{9E55B7C9-8B6B-4847-BBE0-FB25726633DF}"/>
    <cellStyle name="Currency 4 5 3 3 2 2" xfId="2414" xr:uid="{1EFA7F94-957E-4E76-9844-25A224272495}"/>
    <cellStyle name="Currency 4 5 3 3 2 3" xfId="2415" xr:uid="{F7254459-0F2C-4074-89D1-554F670FC682}"/>
    <cellStyle name="Currency 4 5 3 3 3" xfId="2416" xr:uid="{0644BD4B-2A8D-4BC8-B8AA-D1B573C1B486}"/>
    <cellStyle name="Currency 4 5 3 3 4" xfId="2417" xr:uid="{DE9D4686-C633-49C3-B755-99D09793A229}"/>
    <cellStyle name="Currency 4 5 3 3 5" xfId="2418" xr:uid="{9C919175-96B8-47DC-AC36-B5558D196C83}"/>
    <cellStyle name="Currency 4 5 3 4" xfId="2419" xr:uid="{AA3BD90B-ECFE-4D92-ABAD-0AF8AE1C2044}"/>
    <cellStyle name="Currency 4 5 3 4 2" xfId="2420" xr:uid="{688B4BE2-96B5-4F9B-AA6B-C0B7E3BF2162}"/>
    <cellStyle name="Currency 4 5 3 4 3" xfId="2421" xr:uid="{4CD252A3-332B-4951-89DB-A177B08D12E4}"/>
    <cellStyle name="Currency 4 5 3 5" xfId="2422" xr:uid="{0E041CA9-3BFE-4B19-ACF0-C202137705AC}"/>
    <cellStyle name="Currency 4 5 3 6" xfId="2423" xr:uid="{D58D5396-7389-44EC-A139-7A3EA4AF7477}"/>
    <cellStyle name="Currency 4 5 3 7" xfId="2424" xr:uid="{F4729266-032D-4125-9D8D-C2157F526D45}"/>
    <cellStyle name="Currency 4 5 4" xfId="2425" xr:uid="{A5E645C0-E5AC-4B45-94E1-C0AF342DCE39}"/>
    <cellStyle name="Currency 4 5 4 2" xfId="2426" xr:uid="{B86C78C8-8E1E-420A-9587-53AEBF95D020}"/>
    <cellStyle name="Currency 4 5 4 2 2" xfId="2427" xr:uid="{6730DA40-1471-4F23-AE47-7F43151D4155}"/>
    <cellStyle name="Currency 4 5 4 2 3" xfId="2428" xr:uid="{ECD9F7B0-F7C0-4F9A-A308-47788038972D}"/>
    <cellStyle name="Currency 4 5 4 3" xfId="2429" xr:uid="{3A0F9A9F-B2A9-46C9-8AAE-EE1A982AA949}"/>
    <cellStyle name="Currency 4 5 4 4" xfId="2430" xr:uid="{1DA8A7E1-C666-49CD-B1DA-1A1D5C00E8FD}"/>
    <cellStyle name="Currency 4 5 4 5" xfId="2431" xr:uid="{DCEF7700-15A7-4B88-A4F6-E645CB531582}"/>
    <cellStyle name="Currency 4 5 5" xfId="2432" xr:uid="{55B56834-52BA-4800-9CE0-0189F933E6BB}"/>
    <cellStyle name="Currency 4 5 5 2" xfId="2433" xr:uid="{A09730B1-B3F7-4779-A0C6-3BFAA936ABC1}"/>
    <cellStyle name="Currency 4 5 5 2 2" xfId="2434" xr:uid="{3A6868B6-6FFB-4917-99BE-5E0C0D65AACC}"/>
    <cellStyle name="Currency 4 5 5 2 3" xfId="2435" xr:uid="{F238681F-2B6E-4085-BB1F-4BD2E384826B}"/>
    <cellStyle name="Currency 4 5 5 3" xfId="2436" xr:uid="{D24E3866-E514-49F3-BEA6-46C6476DBEE7}"/>
    <cellStyle name="Currency 4 5 5 4" xfId="2437" xr:uid="{3FA30653-8459-4A58-BE00-47E10830B6D7}"/>
    <cellStyle name="Currency 4 5 5 5" xfId="2438" xr:uid="{D05B2DAF-A6EF-41DE-AB0F-57AD969E1B20}"/>
    <cellStyle name="Currency 4 5 6" xfId="2439" xr:uid="{EBA3282A-B82F-40DE-89B7-5A8FCADDE259}"/>
    <cellStyle name="Currency 4 5 6 2" xfId="2440" xr:uid="{F28F68C2-F786-446E-AA13-32CAF271A39D}"/>
    <cellStyle name="Currency 4 5 6 3" xfId="2441" xr:uid="{E5F637B0-D1E0-4384-A114-B68162A6975E}"/>
    <cellStyle name="Currency 4 5 7" xfId="2442" xr:uid="{0128AAE2-B74F-4E9F-8CC9-7BE2B7DB9DEC}"/>
    <cellStyle name="Currency 4 5 8" xfId="2443" xr:uid="{1B096171-44BB-406E-8C69-DFFFB6EEA884}"/>
    <cellStyle name="Currency 4 5 9" xfId="2444" xr:uid="{D83C64EA-7B19-4F4A-AD90-E19EDE327A3E}"/>
    <cellStyle name="Currency 4 6" xfId="2445" xr:uid="{2DD84246-F0F6-4D45-AF1E-1C78A91D411A}"/>
    <cellStyle name="Currency 4 6 2" xfId="2446" xr:uid="{7B1A8D31-9A36-4D1A-B47C-C183418C084E}"/>
    <cellStyle name="Currency 4 6 2 2" xfId="2447" xr:uid="{00F266AA-71BC-42CA-A2D5-F53CC48BEF94}"/>
    <cellStyle name="Currency 4 6 2 2 2" xfId="2448" xr:uid="{0806C3BB-4F7B-4AF4-8679-02634821F5BA}"/>
    <cellStyle name="Currency 4 6 2 2 2 2" xfId="2449" xr:uid="{7EF0DB5F-A0C2-4167-88B2-EE5031A1CBB0}"/>
    <cellStyle name="Currency 4 6 2 2 2 3" xfId="2450" xr:uid="{78BEABA6-ABF0-429A-905A-05E36077B2B9}"/>
    <cellStyle name="Currency 4 6 2 2 3" xfId="2451" xr:uid="{9327A771-A38E-4205-A3C7-35FB0B369F15}"/>
    <cellStyle name="Currency 4 6 2 2 4" xfId="2452" xr:uid="{7B24A66E-F2EA-4D7B-A179-8CA2D9A9E6B3}"/>
    <cellStyle name="Currency 4 6 2 2 5" xfId="2453" xr:uid="{F60F4497-D89F-49CB-8443-92B803A9AB94}"/>
    <cellStyle name="Currency 4 6 2 3" xfId="2454" xr:uid="{BC521D6F-C372-471D-987B-39D47F9DFDBC}"/>
    <cellStyle name="Currency 4 6 2 3 2" xfId="2455" xr:uid="{193BFDA2-5756-4AE2-ACB2-0BE7B934759E}"/>
    <cellStyle name="Currency 4 6 2 3 2 2" xfId="2456" xr:uid="{C1FCE915-EA29-44E8-AD3A-84F097263684}"/>
    <cellStyle name="Currency 4 6 2 3 2 3" xfId="2457" xr:uid="{61714E30-EA3D-411D-856F-339D74198177}"/>
    <cellStyle name="Currency 4 6 2 3 3" xfId="2458" xr:uid="{36149E4C-4AB4-4D99-B281-39702D71A8EE}"/>
    <cellStyle name="Currency 4 6 2 3 4" xfId="2459" xr:uid="{C1B55949-13E7-4ED0-BDD5-22A9EA25C301}"/>
    <cellStyle name="Currency 4 6 2 3 5" xfId="2460" xr:uid="{E480BBC9-FA9F-4F0E-8DA8-510DAA165404}"/>
    <cellStyle name="Currency 4 6 2 4" xfId="2461" xr:uid="{D91B7F52-A41A-4940-8598-C6717093CCE7}"/>
    <cellStyle name="Currency 4 6 2 4 2" xfId="2462" xr:uid="{8CAFEF5A-9985-415E-AEE5-AC343B557679}"/>
    <cellStyle name="Currency 4 6 2 4 3" xfId="2463" xr:uid="{6F602151-AC00-40FB-BFA5-C4AB990DC6E3}"/>
    <cellStyle name="Currency 4 6 2 5" xfId="2464" xr:uid="{A2F6ADE4-5BCC-432D-87E3-495250EB243B}"/>
    <cellStyle name="Currency 4 6 2 6" xfId="2465" xr:uid="{FC2C9F61-62ED-4BC4-9314-8AAEBAA5DDB0}"/>
    <cellStyle name="Currency 4 6 2 7" xfId="2466" xr:uid="{AB5E2F2D-9751-4D97-86FA-766BF6B7F2A9}"/>
    <cellStyle name="Currency 4 6 3" xfId="2467" xr:uid="{C21F8762-5BB0-4591-B720-273A12E3D938}"/>
    <cellStyle name="Currency 4 6 3 2" xfId="2468" xr:uid="{16DC91C9-AAC1-47B3-A044-F3A191986350}"/>
    <cellStyle name="Currency 4 6 3 2 2" xfId="2469" xr:uid="{E3D6D6EE-2CD7-4922-8D54-A301CEBF4275}"/>
    <cellStyle name="Currency 4 6 3 2 3" xfId="2470" xr:uid="{666953BE-CB94-4307-92BF-CAA667E386EA}"/>
    <cellStyle name="Currency 4 6 3 3" xfId="2471" xr:uid="{F46B1E1C-26F4-435F-AF64-0CD5A5EE2DA2}"/>
    <cellStyle name="Currency 4 6 3 4" xfId="2472" xr:uid="{AB4B1991-C1CA-4A54-8782-6D44994C8449}"/>
    <cellStyle name="Currency 4 6 3 5" xfId="2473" xr:uid="{6F156014-2D4D-48F8-869B-A07E28461220}"/>
    <cellStyle name="Currency 4 6 4" xfId="2474" xr:uid="{E88FD2AD-69FA-4A56-848B-2640BCC3EF13}"/>
    <cellStyle name="Currency 4 6 4 2" xfId="2475" xr:uid="{84A02369-4999-4B40-9E79-3E547D9DA1EF}"/>
    <cellStyle name="Currency 4 6 4 2 2" xfId="2476" xr:uid="{152D8F8F-181F-4AF1-AD07-A5E191E13AA1}"/>
    <cellStyle name="Currency 4 6 4 2 3" xfId="2477" xr:uid="{CB71DE55-119B-4DE7-940F-70F280799975}"/>
    <cellStyle name="Currency 4 6 4 3" xfId="2478" xr:uid="{6C16D05E-F6C2-4D75-BE68-E1E33824B627}"/>
    <cellStyle name="Currency 4 6 4 4" xfId="2479" xr:uid="{80CA83E6-05C3-4254-84FF-8FFC564EDA10}"/>
    <cellStyle name="Currency 4 6 4 5" xfId="2480" xr:uid="{2C59C9C9-88E6-4F14-8C5D-78B1AB5E5E64}"/>
    <cellStyle name="Currency 4 6 5" xfId="2481" xr:uid="{7E2A535C-DB51-4315-AE4E-1203C9FF5F7C}"/>
    <cellStyle name="Currency 4 6 5 2" xfId="2482" xr:uid="{C11CCC2E-62BA-48E7-B2C1-00991F1BFFB3}"/>
    <cellStyle name="Currency 4 6 5 3" xfId="2483" xr:uid="{EEFA420A-53B6-4002-81F4-40E2214B7BFA}"/>
    <cellStyle name="Currency 4 6 6" xfId="2484" xr:uid="{B226AC9E-645C-4681-9A17-BCD2BBC0735C}"/>
    <cellStyle name="Currency 4 6 7" xfId="2485" xr:uid="{81FF93F9-5691-4B6C-8FE4-DFD5D60A3806}"/>
    <cellStyle name="Currency 4 6 8" xfId="2486" xr:uid="{5AF33E3F-3831-433F-ADDB-E914E4A864E2}"/>
    <cellStyle name="Currency 4 7" xfId="2487" xr:uid="{4EC9CF2F-2114-4055-AF39-A4A6803390E0}"/>
    <cellStyle name="Currency 4 7 2" xfId="2488" xr:uid="{ABFD8592-5558-4CC0-ACAC-6BF0151B3427}"/>
    <cellStyle name="Currency 4 7 2 2" xfId="2489" xr:uid="{2E27F178-64B3-42B6-BB3A-4D775D2BFAE5}"/>
    <cellStyle name="Currency 4 7 2 2 2" xfId="2490" xr:uid="{F5D3FB24-B6BE-48C8-8D0F-DBD5AB5E18F9}"/>
    <cellStyle name="Currency 4 7 2 2 3" xfId="2491" xr:uid="{AEB1C91E-B772-4876-98F3-325707E81F4F}"/>
    <cellStyle name="Currency 4 7 2 3" xfId="2492" xr:uid="{78F3CD6A-4E1A-42F9-AC96-3C9D6DAB4365}"/>
    <cellStyle name="Currency 4 7 2 4" xfId="2493" xr:uid="{AB233C40-7C15-4267-A00F-3B6F346B67A2}"/>
    <cellStyle name="Currency 4 7 2 5" xfId="2494" xr:uid="{848D9135-3779-48E4-BBC6-15C3619CF4F0}"/>
    <cellStyle name="Currency 4 7 3" xfId="2495" xr:uid="{D13B493B-0159-4646-ACBA-C26A92A7B2E6}"/>
    <cellStyle name="Currency 4 7 3 2" xfId="2496" xr:uid="{68A4B6FC-2043-4823-B6FE-4F49EA172B68}"/>
    <cellStyle name="Currency 4 7 3 2 2" xfId="2497" xr:uid="{B12EC231-EB4F-4DDB-B218-FF95C098AE96}"/>
    <cellStyle name="Currency 4 7 3 2 3" xfId="2498" xr:uid="{343163F0-B0CD-471C-8C31-9E72C511A79B}"/>
    <cellStyle name="Currency 4 7 3 3" xfId="2499" xr:uid="{CDE8EA68-6D54-42F8-A786-CA961D599B64}"/>
    <cellStyle name="Currency 4 7 3 4" xfId="2500" xr:uid="{8A08A60B-FF72-4B1A-A608-F5D15E736F50}"/>
    <cellStyle name="Currency 4 7 3 5" xfId="2501" xr:uid="{1BC47866-B405-4AD8-A0FF-EA486FB41152}"/>
    <cellStyle name="Currency 4 8" xfId="2502" xr:uid="{2FD8A36E-6D96-4C6B-921A-99B10394C167}"/>
    <cellStyle name="Currency 4 8 2" xfId="2503" xr:uid="{766239AF-F10E-43FC-BFDD-A4EFB529AEE2}"/>
    <cellStyle name="Currency 4 8 2 2" xfId="2504" xr:uid="{4717D92E-0903-4085-A6E2-ED09BD412A60}"/>
    <cellStyle name="Currency 4 8 2 2 2" xfId="2505" xr:uid="{3EAA4496-6BA3-4EC7-8BB9-96643338A2D9}"/>
    <cellStyle name="Currency 4 8 2 2 3" xfId="2506" xr:uid="{61383244-A5C2-4707-B06C-686A11D17893}"/>
    <cellStyle name="Currency 4 8 2 3" xfId="2507" xr:uid="{1BA76684-2AFF-419D-9228-92AFF5DD0395}"/>
    <cellStyle name="Currency 4 8 2 4" xfId="2508" xr:uid="{EF1B977C-854A-44DC-BC88-C7071352FBD7}"/>
    <cellStyle name="Currency 4 8 2 5" xfId="2509" xr:uid="{D96004A3-6B4C-4A16-93CD-229119CA6233}"/>
    <cellStyle name="Currency 4 8 3" xfId="2510" xr:uid="{FB181961-EE63-45F3-A4DD-69062E2C3BF9}"/>
    <cellStyle name="Currency 4 8 3 2" xfId="2511" xr:uid="{2BDDF5B7-69D8-4A0D-A037-B31474F5BE29}"/>
    <cellStyle name="Currency 4 8 3 2 2" xfId="2512" xr:uid="{40F82124-93AA-4E80-8735-BA3CB10D533D}"/>
    <cellStyle name="Currency 4 8 3 2 3" xfId="2513" xr:uid="{EBFF83B4-88B4-4AE6-86F9-4EF3E907B79A}"/>
    <cellStyle name="Currency 4 8 3 3" xfId="2514" xr:uid="{9FBB4078-8E14-4F69-892D-2E6E1712AE3D}"/>
    <cellStyle name="Currency 4 8 3 4" xfId="2515" xr:uid="{28D08BBD-35CC-4906-860E-481E56AC716D}"/>
    <cellStyle name="Currency 4 8 3 5" xfId="2516" xr:uid="{00266525-AC55-44F5-AA11-62B266F633C0}"/>
    <cellStyle name="Currency 4 8 4" xfId="2517" xr:uid="{86C96088-B94C-4AB8-903B-8081E194830F}"/>
    <cellStyle name="Currency 4 8 4 2" xfId="2518" xr:uid="{DFC83A81-9FEC-4476-8A30-0AE1A5FFC91B}"/>
    <cellStyle name="Currency 4 8 4 3" xfId="2519" xr:uid="{1DFDDB14-17E8-4C92-8FFB-CD84D2931B1B}"/>
    <cellStyle name="Currency 4 8 5" xfId="2520" xr:uid="{E9D283FF-271B-4A49-9590-F03236CB4BC7}"/>
    <cellStyle name="Currency 4 8 6" xfId="2521" xr:uid="{D3966D8B-2884-42C4-B558-D10D2964B9CC}"/>
    <cellStyle name="Currency 4 8 7" xfId="2522" xr:uid="{2961ECD6-49AC-4B25-B803-739F322EBF56}"/>
    <cellStyle name="Currency 4 9" xfId="2523" xr:uid="{4DFD0AD0-7130-4301-B000-054AB52096DD}"/>
    <cellStyle name="Currency 4 9 2" xfId="2524" xr:uid="{4FCDF97A-7449-4E2D-B1D0-9181B6B11E5D}"/>
    <cellStyle name="Currency 4 9 2 2" xfId="2525" xr:uid="{BC3589F1-162C-4BF2-9E69-9C22D1551ED1}"/>
    <cellStyle name="Currency 4 9 2 3" xfId="2526" xr:uid="{1F531730-77DE-4A56-9D29-79A765523F39}"/>
    <cellStyle name="Currency 4 9 3" xfId="2527" xr:uid="{DF1C24E5-EA99-4364-973B-9590886D47A9}"/>
    <cellStyle name="Currency 4 9 4" xfId="2528" xr:uid="{7B3E3E38-54E9-4369-963A-61D3F9E7C0D6}"/>
    <cellStyle name="Currency 4 9 5" xfId="2529" xr:uid="{BECBC17C-8B0D-43C4-8BAB-1F84E2556D78}"/>
    <cellStyle name="Currency 5" xfId="253" xr:uid="{00000000-0005-0000-0000-000024010000}"/>
    <cellStyle name="Currency 5 2" xfId="254" xr:uid="{00000000-0005-0000-0000-000025010000}"/>
    <cellStyle name="Currency 6" xfId="255" xr:uid="{00000000-0005-0000-0000-000026010000}"/>
    <cellStyle name="Currency 6 2" xfId="256" xr:uid="{00000000-0005-0000-0000-000027010000}"/>
    <cellStyle name="Currency 6 3" xfId="482" xr:uid="{00000000-0005-0000-0000-000028010000}"/>
    <cellStyle name="Currency 6 4" xfId="988" xr:uid="{BF3D7162-9ABD-4E54-A300-7D7FDCB23C2D}"/>
    <cellStyle name="Currency 7" xfId="257" xr:uid="{00000000-0005-0000-0000-000029010000}"/>
    <cellStyle name="Currency 8" xfId="258" xr:uid="{00000000-0005-0000-0000-00002A010000}"/>
    <cellStyle name="Currency 8 2" xfId="987" xr:uid="{FBF7A124-38CA-4E87-8BC7-0CF161787A17}"/>
    <cellStyle name="Currency 9" xfId="259" xr:uid="{00000000-0005-0000-0000-00002B010000}"/>
    <cellStyle name="Currency 9 2" xfId="986" xr:uid="{88E27D59-0C11-468F-86BB-B650E8689559}"/>
    <cellStyle name="Currency Input" xfId="655" xr:uid="{9556E3C7-2F9F-4756-AF1A-63939A03BA17}"/>
    <cellStyle name="Currency0" xfId="260" xr:uid="{00000000-0005-0000-0000-00002C010000}"/>
    <cellStyle name="Currency0 2" xfId="2530" xr:uid="{EBAD331B-D0A4-4DD2-BAFF-1F2D3F39231F}"/>
    <cellStyle name="Currency0 3" xfId="656" xr:uid="{CF023A22-5EBC-41FE-A5D8-9FF068D529D0}"/>
    <cellStyle name="d" xfId="657" xr:uid="{1CAB0A7E-FC4A-4EB7-9F1F-BA2DD9EF27B7}"/>
    <cellStyle name="d," xfId="658" xr:uid="{6C5A765A-033F-4B7E-879F-1E1022A86F92}"/>
    <cellStyle name="d1" xfId="659" xr:uid="{EB0247C7-1543-4342-8289-9F8155E648E3}"/>
    <cellStyle name="d1," xfId="660" xr:uid="{1641B36F-B569-4692-B273-E5154AE1EF3B}"/>
    <cellStyle name="d2" xfId="661" xr:uid="{11D3D773-7966-4E26-BF37-F56FD8832E66}"/>
    <cellStyle name="d2," xfId="662" xr:uid="{F75153A3-B1E5-4372-A28F-5E8BC63BF082}"/>
    <cellStyle name="d3" xfId="663" xr:uid="{25A67732-1D50-443E-8D4B-ABC3E6E5B8F2}"/>
    <cellStyle name="Dash" xfId="664" xr:uid="{6B0123BD-ED1D-40D8-AAF5-B98553F38993}"/>
    <cellStyle name="Date" xfId="261" xr:uid="{00000000-0005-0000-0000-00002D010000}"/>
    <cellStyle name="Date [Abbreviated]" xfId="666" xr:uid="{C60EDBAA-6B61-430A-8DFB-6899E64950A6}"/>
    <cellStyle name="Date [Long Europe]" xfId="667" xr:uid="{BAC9D075-5EEC-456E-94AE-BFC057CDC0AC}"/>
    <cellStyle name="Date [Long U.S.]" xfId="668" xr:uid="{9C498EC5-FD29-43C0-8C52-B3810F3EBA8C}"/>
    <cellStyle name="Date [Short Europe]" xfId="669" xr:uid="{A6F8D8D2-632C-405A-BA97-16FD2B29465A}"/>
    <cellStyle name="Date [Short U.S.]" xfId="670" xr:uid="{24B132F3-7831-4C8D-96BA-477CE62147B1}"/>
    <cellStyle name="Date 2" xfId="2531" xr:uid="{31952445-4C96-44E2-AC91-617A1E29ECAB}"/>
    <cellStyle name="Date 3" xfId="665" xr:uid="{692B9D0A-F644-49A6-9D41-4206A83661FA}"/>
    <cellStyle name="Date 4" xfId="10295" xr:uid="{6B397A55-8474-4C53-B282-6820783E211F}"/>
    <cellStyle name="Date_ITCM 2010 Template" xfId="671" xr:uid="{4D251B80-7FBC-4D2B-BD48-9D67AB02F512}"/>
    <cellStyle name="date1" xfId="262" xr:uid="{00000000-0005-0000-0000-00002E010000}"/>
    <cellStyle name="Define$0" xfId="672" xr:uid="{DA4A4BA9-35D9-4C2B-949B-FE38BF2D6E59}"/>
    <cellStyle name="Define$1" xfId="673" xr:uid="{46435B9B-48C0-41E0-9D7F-D7435A1F37C8}"/>
    <cellStyle name="Define$2" xfId="674" xr:uid="{D39A4282-79EE-4CBC-991E-DF56A532F3EC}"/>
    <cellStyle name="Define0" xfId="675" xr:uid="{D8DF60C0-5338-4857-B334-E4E2C0D03F5B}"/>
    <cellStyle name="Define1" xfId="676" xr:uid="{CCAB481B-4D46-4B15-AC07-9B81ABBAB4E0}"/>
    <cellStyle name="Define1x" xfId="677" xr:uid="{4A8B4756-9436-4228-B548-C2E7088392E8}"/>
    <cellStyle name="Define2" xfId="678" xr:uid="{15D8EDDE-EE6F-4521-9FDC-A9A8E868A805}"/>
    <cellStyle name="Define2x" xfId="679" xr:uid="{0483F582-934C-49F1-BB69-275D6F4D7525}"/>
    <cellStyle name="Dollar" xfId="680" xr:uid="{EBC06344-CAD5-4FF4-AD1F-B7EA7CAF50BB}"/>
    <cellStyle name="e" xfId="681" xr:uid="{766DAF31-584B-4B5F-B49D-A927D817F455}"/>
    <cellStyle name="e1" xfId="682" xr:uid="{3E3668B2-65C9-4E73-860D-0DF7533BF782}"/>
    <cellStyle name="e2" xfId="683" xr:uid="{0620B601-D48C-4247-89B2-55B931528552}"/>
    <cellStyle name="Euro" xfId="8" xr:uid="{00000000-0005-0000-0000-00002F010000}"/>
    <cellStyle name="Euro 2" xfId="684" xr:uid="{229B6738-1D08-478D-90A1-FF4459BCA818}"/>
    <cellStyle name="Explanatory Text 2" xfId="263" xr:uid="{00000000-0005-0000-0000-000030010000}"/>
    <cellStyle name="Explanatory Text 2 2" xfId="264" xr:uid="{00000000-0005-0000-0000-000031010000}"/>
    <cellStyle name="Explanatory Text 2 2 2" xfId="2532" xr:uid="{1BCB783E-23D9-49B7-A2B0-0442CBE1AEE7}"/>
    <cellStyle name="Explanatory Text 2 3" xfId="265" xr:uid="{00000000-0005-0000-0000-000032010000}"/>
    <cellStyle name="Explanatory Text 2 4" xfId="1097" xr:uid="{85534DCF-0740-4126-9436-75EA3ECE2A96}"/>
    <cellStyle name="Explanatory Text 3" xfId="2533" xr:uid="{E73C53C1-8DCD-4257-8E14-22B19DFF3E82}"/>
    <cellStyle name="Explanatory Text 4" xfId="2534" xr:uid="{6679E6D8-B7C0-45E0-8E51-6CA9A39C4C47}"/>
    <cellStyle name="Explanatory Text 5" xfId="2535" xr:uid="{2274DBB9-9DC2-4DC4-9BC2-6F4BDDA746CD}"/>
    <cellStyle name="Explanatory Text 6" xfId="2536" xr:uid="{09857EC4-5F23-409E-8809-B183B07DE21A}"/>
    <cellStyle name="Explanatory Text 7" xfId="2537" xr:uid="{C2278A64-E743-4221-8739-916DECCE2FB6}"/>
    <cellStyle name="Explanatory Text 8" xfId="2538" xr:uid="{35D5E440-18AD-4B68-A854-DE9418597D7B}"/>
    <cellStyle name="Explanatory Text 9" xfId="2539" xr:uid="{B13BAB56-8B75-4129-A8B8-1AEE5F07B2E5}"/>
    <cellStyle name="Fixed" xfId="266" xr:uid="{00000000-0005-0000-0000-000033010000}"/>
    <cellStyle name="Fixed 2" xfId="2540" xr:uid="{98352A72-60B7-496C-B297-C1116211650C}"/>
    <cellStyle name="Fixed 3" xfId="685" xr:uid="{B39F70DA-3E5A-44A6-8011-AE4407384577}"/>
    <cellStyle name="FOOTER - Style1" xfId="686" xr:uid="{722E6076-A373-45EF-B90C-A8823C3FE3E5}"/>
    <cellStyle name="g" xfId="687" xr:uid="{72CE1E13-B623-45BD-B084-40ECAA38495E}"/>
    <cellStyle name="general" xfId="688" xr:uid="{4377A489-5C74-444B-BA52-2B3355BCD16F}"/>
    <cellStyle name="General [C]" xfId="689" xr:uid="{8EA99131-93B6-453E-8241-516F65AEAFDA}"/>
    <cellStyle name="General [R]" xfId="690" xr:uid="{D104E110-9BE8-489B-AA74-1DC87E9213F2}"/>
    <cellStyle name="Good 2" xfId="267" xr:uid="{00000000-0005-0000-0000-000034010000}"/>
    <cellStyle name="Good 2 2" xfId="268" xr:uid="{00000000-0005-0000-0000-000035010000}"/>
    <cellStyle name="Good 2 2 2" xfId="2541" xr:uid="{34817B07-53AE-4A50-9860-C3483C6F9C69}"/>
    <cellStyle name="Good 2 3" xfId="269" xr:uid="{00000000-0005-0000-0000-000036010000}"/>
    <cellStyle name="Good 2 4" xfId="1098" xr:uid="{0F410B7F-D731-4F62-8991-D084C5912698}"/>
    <cellStyle name="Good 3" xfId="2542" xr:uid="{712CBD0F-210E-4903-8EBB-CBDB945C17BE}"/>
    <cellStyle name="Good 4" xfId="2543" xr:uid="{9E7A0768-8BE5-472D-ADE5-72225813F975}"/>
    <cellStyle name="Good 5" xfId="2544" xr:uid="{2D6CD38F-C814-49AB-A232-D3FB654F19EB}"/>
    <cellStyle name="Good 6" xfId="2545" xr:uid="{C5B8E43F-4FB3-485D-8C70-D88722F5E3AE}"/>
    <cellStyle name="Good 7" xfId="2546" xr:uid="{A9996F33-7D10-4ECE-8443-2DB5215BA93A}"/>
    <cellStyle name="Good 8" xfId="2547" xr:uid="{8AFAED1B-18CF-421C-8D3F-5161EFB3C6F1}"/>
    <cellStyle name="Good 9" xfId="2548" xr:uid="{B4F1253A-DF0D-421F-BB1E-79A53D1DA3FB}"/>
    <cellStyle name="Green" xfId="691" xr:uid="{673F9F41-D69C-4D11-8074-C6C3B7606B6C}"/>
    <cellStyle name="grey" xfId="692" xr:uid="{81AC5867-70EA-406E-BF48-56B30639B1F2}"/>
    <cellStyle name="head1" xfId="270" xr:uid="{00000000-0005-0000-0000-000037010000}"/>
    <cellStyle name="Header1" xfId="693" xr:uid="{5F3A7D8C-7D49-46DD-BE71-D9825614520B}"/>
    <cellStyle name="Header2" xfId="694" xr:uid="{68C106B5-0A87-4E1A-ACBB-B5403D17C65F}"/>
    <cellStyle name="Heading" xfId="695" xr:uid="{4173D6B8-FF0A-4FD6-9010-94E5AFC0C268}"/>
    <cellStyle name="Heading 1 2" xfId="271" xr:uid="{00000000-0005-0000-0000-000038010000}"/>
    <cellStyle name="Heading 1 2 2" xfId="272" xr:uid="{00000000-0005-0000-0000-000039010000}"/>
    <cellStyle name="Heading 1 2 2 2" xfId="2550" xr:uid="{EE33C84B-A9E9-4698-97F4-B34C90C7A3D7}"/>
    <cellStyle name="Heading 1 2 3" xfId="2549" xr:uid="{28FD69BB-2C24-4C26-834A-3FDA96B9039E}"/>
    <cellStyle name="Heading 1 3" xfId="2551" xr:uid="{D278F868-A237-4575-8E4F-997D6A2E28A1}"/>
    <cellStyle name="Heading 1 4" xfId="2552" xr:uid="{603D98AF-B3EF-445A-AE22-156BE001A11F}"/>
    <cellStyle name="Heading 1 5" xfId="2553" xr:uid="{A31F3734-095D-4DCC-B125-C01DC17FB67C}"/>
    <cellStyle name="Heading 1 6" xfId="2554" xr:uid="{3BED274F-FCDC-4125-AC09-A048C0B40585}"/>
    <cellStyle name="Heading 1 7" xfId="2555" xr:uid="{96EBB97C-A216-4774-A852-97D55A6A9635}"/>
    <cellStyle name="Heading 1 8" xfId="2556" xr:uid="{1FCC8158-62F1-4181-AC36-2FA54BEAF3B1}"/>
    <cellStyle name="Heading 1 9" xfId="696" xr:uid="{AADEA4DC-BFC1-4CCC-BEF9-C9D4F5B9FE6B}"/>
    <cellStyle name="Heading 2 2" xfId="273" xr:uid="{00000000-0005-0000-0000-00003A010000}"/>
    <cellStyle name="Heading 2 2 2" xfId="274" xr:uid="{00000000-0005-0000-0000-00003B010000}"/>
    <cellStyle name="Heading 2 2 2 2" xfId="2557" xr:uid="{1A8F8EF0-EAFD-46B8-9FD5-3E065C83AD03}"/>
    <cellStyle name="Heading 2 2 3" xfId="275" xr:uid="{00000000-0005-0000-0000-00003C010000}"/>
    <cellStyle name="Heading 2 2 4" xfId="276" xr:uid="{00000000-0005-0000-0000-00003D010000}"/>
    <cellStyle name="Heading 2 2 5" xfId="698" xr:uid="{CC068CB4-9D10-49A6-8700-7D500A5AD5A0}"/>
    <cellStyle name="Heading 2 3" xfId="2558" xr:uid="{FC7174A2-69C3-4A27-B5C5-AB6B82AAB1C0}"/>
    <cellStyle name="Heading 2 4" xfId="2559" xr:uid="{30B16A20-2A3C-40B0-9E57-1C56C543AE84}"/>
    <cellStyle name="Heading 2 5" xfId="2560" xr:uid="{BD953A3E-1ABF-465E-9D3E-539E9728A2E2}"/>
    <cellStyle name="Heading 2 6" xfId="2561" xr:uid="{C09BAFBF-7CFB-4825-BFCB-CFE47C068FDD}"/>
    <cellStyle name="Heading 2 7" xfId="2562" xr:uid="{2A9DDF45-5270-4E92-A997-FC28EEB0F10B}"/>
    <cellStyle name="Heading 2 8" xfId="2563" xr:uid="{FB641FC1-F39B-4C6D-BBF6-BADE873B1BE7}"/>
    <cellStyle name="Heading 2 9" xfId="697" xr:uid="{438CEFA7-C988-4EDE-A3CE-64165055E46C}"/>
    <cellStyle name="Heading 3 2" xfId="277" xr:uid="{00000000-0005-0000-0000-00003E010000}"/>
    <cellStyle name="Heading 3 2 2" xfId="278" xr:uid="{00000000-0005-0000-0000-00003F010000}"/>
    <cellStyle name="Heading 3 2 3" xfId="279" xr:uid="{00000000-0005-0000-0000-000040010000}"/>
    <cellStyle name="Heading 3 2 4" xfId="280" xr:uid="{00000000-0005-0000-0000-000041010000}"/>
    <cellStyle name="Heading 3 2 5" xfId="1100" xr:uid="{ECB39817-BCBB-4168-8236-3E97331A19EB}"/>
    <cellStyle name="Heading 3 3" xfId="2564" xr:uid="{2B777B4D-EA4E-42DE-B131-33391D250C9D}"/>
    <cellStyle name="Heading 3 4" xfId="2565" xr:uid="{AFAD4479-9D62-4096-8988-FDA427BC5194}"/>
    <cellStyle name="Heading 3 5" xfId="2566" xr:uid="{1697524D-36C4-4A22-A87F-DFDF0D98FC6F}"/>
    <cellStyle name="Heading 3 6" xfId="2567" xr:uid="{253A78A1-F418-4619-AA88-C4471478171D}"/>
    <cellStyle name="Heading 3 7" xfId="2568" xr:uid="{8960E5B5-2EBE-4E1B-BF0B-A7FB06D222B9}"/>
    <cellStyle name="Heading 3 8" xfId="2569" xr:uid="{7E34578B-66E1-479F-8E1F-AA9612D78635}"/>
    <cellStyle name="Heading 3 9" xfId="2570" xr:uid="{85C95717-0BE7-4DBC-B2CB-27F676CA9FEA}"/>
    <cellStyle name="Heading 4 2" xfId="281" xr:uid="{00000000-0005-0000-0000-000042010000}"/>
    <cellStyle name="Heading 4 2 2" xfId="282" xr:uid="{00000000-0005-0000-0000-000043010000}"/>
    <cellStyle name="Heading 4 2 3" xfId="1101" xr:uid="{56B180D5-BE2B-4783-AAF3-63B799C69756}"/>
    <cellStyle name="Heading 4 3" xfId="2571" xr:uid="{FC1ED082-72CF-4348-820D-3738F80C4B00}"/>
    <cellStyle name="Heading 4 4" xfId="2572" xr:uid="{33B3D665-E1BA-49EF-B680-6BD03296DF99}"/>
    <cellStyle name="Heading 4 5" xfId="2573" xr:uid="{A62AE288-BCBE-4F16-8AF1-6EA8CBDDE455}"/>
    <cellStyle name="Heading 4 6" xfId="2574" xr:uid="{2AC326F1-78FF-4D49-9240-1FF405423D2A}"/>
    <cellStyle name="Heading 4 7" xfId="2575" xr:uid="{8AE522F7-27D4-4450-83E5-86E32E6E2705}"/>
    <cellStyle name="Heading 4 8" xfId="2576" xr:uid="{F7B45B08-06E7-49B2-8D69-2AEF0AF17253}"/>
    <cellStyle name="Heading 4 9" xfId="2577" xr:uid="{48F5712B-201E-4A37-B2A4-5A95EBAD6DBB}"/>
    <cellStyle name="Heading 5" xfId="9856" xr:uid="{6520DF22-D243-4657-9338-B25554602A06}"/>
    <cellStyle name="Heading No Underline" xfId="699" xr:uid="{C1AC4372-01EE-47FA-BE38-A52F279985CD}"/>
    <cellStyle name="Heading With Underline" xfId="700" xr:uid="{02A5CD03-78EB-4DCF-96CE-A1CD3150E981}"/>
    <cellStyle name="Heading1" xfId="701" xr:uid="{5525BB69-5E83-4204-AEC6-1E3A17006C48}"/>
    <cellStyle name="Heading1 2" xfId="9857" xr:uid="{A132E347-F9DC-401C-9F76-6B72182302E9}"/>
    <cellStyle name="Heading2" xfId="702" xr:uid="{7136AE93-D025-4AC4-98EC-DC3BB821EEF6}"/>
    <cellStyle name="Headline" xfId="703" xr:uid="{165DD7AA-CD42-4D0E-B6FF-4995D0FB62CD}"/>
    <cellStyle name="Highlight" xfId="704" xr:uid="{2F190B9A-6DC7-444B-B753-AE60A50C8A4C}"/>
    <cellStyle name="Hyperlink 2" xfId="283" xr:uid="{00000000-0005-0000-0000-000044010000}"/>
    <cellStyle name="in" xfId="705" xr:uid="{F92F7641-5037-4F06-B040-741FCC00A156}"/>
    <cellStyle name="Indented [0]" xfId="706" xr:uid="{B53BE0A8-7C34-493D-8556-10CB40E999DF}"/>
    <cellStyle name="Indented [2]" xfId="707" xr:uid="{355A7C47-AEA9-4E0B-BE3E-31F696F3B9E7}"/>
    <cellStyle name="Indented [4]" xfId="708" xr:uid="{19C6B7ED-8680-4E3D-9D85-0F80EE310D23}"/>
    <cellStyle name="Indented [6]" xfId="709" xr:uid="{EA1ADFFD-BDF4-4A91-84A8-C26C0FBAEDCD}"/>
    <cellStyle name="Input [yellow]" xfId="710" xr:uid="{B1AE3006-8F04-4F7E-8EF1-F66E4E702B2B}"/>
    <cellStyle name="Input 2" xfId="284" xr:uid="{00000000-0005-0000-0000-000045010000}"/>
    <cellStyle name="Input 2 2" xfId="285" xr:uid="{00000000-0005-0000-0000-000046010000}"/>
    <cellStyle name="Input 2 2 2" xfId="2578" xr:uid="{7DE0BC17-E70B-4AF2-9DFE-6DEBA1C487D3}"/>
    <cellStyle name="Input 2 3" xfId="286" xr:uid="{00000000-0005-0000-0000-000047010000}"/>
    <cellStyle name="Input 2 4" xfId="1102" xr:uid="{2DCF3B73-0B47-47AF-90DE-659095999AB7}"/>
    <cellStyle name="Input 3" xfId="1144" xr:uid="{3166FC05-90AD-46D4-A348-9144ADE5E073}"/>
    <cellStyle name="Input 4" xfId="1137" xr:uid="{E7D9FBDD-E482-4AF4-BD67-ABD8CC0CB2C5}"/>
    <cellStyle name="Input 5" xfId="2579" xr:uid="{DDC45D9F-C218-4B5F-A89D-4546B816D9E6}"/>
    <cellStyle name="Input 6" xfId="2580" xr:uid="{3ABC54F7-E6DC-4B22-9F1A-561AB458581F}"/>
    <cellStyle name="Input 7" xfId="2581" xr:uid="{5E02AE87-E676-488B-A6B2-A06E77D8DC5B}"/>
    <cellStyle name="Input 8" xfId="2582" xr:uid="{FD14F304-DB8C-4405-887A-4F5BBDD772A0}"/>
    <cellStyle name="Input 9" xfId="2583" xr:uid="{BA9E0D1F-F961-4808-9D09-6CD39DF1326E}"/>
    <cellStyle name="Input$0" xfId="711" xr:uid="{1B7A8712-E95C-4B52-91E0-18030B168F5B}"/>
    <cellStyle name="Input$1" xfId="712" xr:uid="{4D228588-5633-442C-8AE0-2CD0AE0D11CA}"/>
    <cellStyle name="Input$2" xfId="713" xr:uid="{0CAA1C34-B90B-4B49-93F8-D9E9C76260B7}"/>
    <cellStyle name="Input0" xfId="714" xr:uid="{A9A98E4D-BDDA-4CDD-AF01-F9584339A1B3}"/>
    <cellStyle name="Input1" xfId="715" xr:uid="{B1BDEF6A-5009-4171-913A-3C5CD7618471}"/>
    <cellStyle name="Input1x" xfId="716" xr:uid="{F406BA36-E996-41C8-B0E9-8D1FDE3CCB70}"/>
    <cellStyle name="Input2" xfId="717" xr:uid="{D697B6A7-63E3-4239-B1E0-05D547D13F95}"/>
    <cellStyle name="Input2x" xfId="718" xr:uid="{536C49CF-A3AE-4E88-8717-5303A485CEA3}"/>
    <cellStyle name="lborder" xfId="719" xr:uid="{E3641EE6-5F3B-40D0-BA52-E8890F35137B}"/>
    <cellStyle name="LeftSubtitle" xfId="720" xr:uid="{3F021DC0-E3E8-435C-934E-35FA4A7592F1}"/>
    <cellStyle name="Lines" xfId="721" xr:uid="{E514AFCA-2A4D-4EEE-8264-A2AB85B635E3}"/>
    <cellStyle name="Linked Cell 2" xfId="287" xr:uid="{00000000-0005-0000-0000-000048010000}"/>
    <cellStyle name="Linked Cell 2 2" xfId="2584" xr:uid="{C3C62A82-629A-471D-9820-077A235DBC9F}"/>
    <cellStyle name="Linked Cell 2 3" xfId="1103" xr:uid="{DA04CCBF-4C28-4CD5-A451-EAEFD19C76B2}"/>
    <cellStyle name="Linked Cell 3" xfId="2585" xr:uid="{B650B05B-DABC-4663-BE01-2D73D43BC4EE}"/>
    <cellStyle name="Linked Cell 4" xfId="2586" xr:uid="{41F79627-CEED-4CDE-A42E-55D83BD332E9}"/>
    <cellStyle name="Linked Cell 5" xfId="2587" xr:uid="{5897DA62-4EF4-4620-9ADE-6FE74AF0E2AC}"/>
    <cellStyle name="Linked Cell 6" xfId="2588" xr:uid="{1C0C12F5-3C8A-4EAB-8F8E-02C1341A3419}"/>
    <cellStyle name="Linked Cell 7" xfId="2589" xr:uid="{CF6EFB8D-3896-4C87-B5D0-47B08E3A9B06}"/>
    <cellStyle name="Linked Cell 8" xfId="2590" xr:uid="{9035A3DC-C441-46C1-9E28-DFA44CC6A757}"/>
    <cellStyle name="Linked Cell 9" xfId="2591" xr:uid="{AB45EEA8-D705-4941-A8AA-B11364868584}"/>
    <cellStyle name="m" xfId="722" xr:uid="{21455010-A43D-4981-8D9B-C5173D323EC4}"/>
    <cellStyle name="m1" xfId="723" xr:uid="{2E719F37-A218-423D-9043-7A5EE70F2861}"/>
    <cellStyle name="m2" xfId="724" xr:uid="{B95173A1-5D43-4A00-BF49-01A0D626B338}"/>
    <cellStyle name="m3" xfId="725" xr:uid="{747A5D6E-7B9F-464B-9405-64677C173F03}"/>
    <cellStyle name="Millares_repenerconsomarzobis" xfId="288" xr:uid="{00000000-0005-0000-0000-000049010000}"/>
    <cellStyle name="Multiple" xfId="726" xr:uid="{25D0D836-F86C-4783-855D-28F618E40288}"/>
    <cellStyle name="Negative" xfId="727" xr:uid="{272DC064-46FA-4DC9-8B52-85B4B0C1DC6A}"/>
    <cellStyle name="Neutral 2" xfId="289" xr:uid="{00000000-0005-0000-0000-00004A010000}"/>
    <cellStyle name="Neutral 2 2" xfId="2592" xr:uid="{C5D4AC6D-D1C3-44A8-A206-A638C5409701}"/>
    <cellStyle name="Neutral 2 3" xfId="1104" xr:uid="{17074D97-35F3-4F4F-B252-639EDA494E5B}"/>
    <cellStyle name="Neutral 3" xfId="2593" xr:uid="{0055DB67-94AF-45FF-BE18-E8F0A7E882A0}"/>
    <cellStyle name="Neutral 4" xfId="2594" xr:uid="{8915AC2D-E096-4D02-89FE-E6B1F33735CE}"/>
    <cellStyle name="Neutral 5" xfId="2595" xr:uid="{4BCCAF79-2970-4650-998D-335DF7415B40}"/>
    <cellStyle name="Neutral 6" xfId="2596" xr:uid="{8FF7DFBC-2444-4112-A7D7-1BC472DCFF3F}"/>
    <cellStyle name="Neutral 7" xfId="2597" xr:uid="{80BBAD09-0A0F-4755-904E-7A8D3E61008B}"/>
    <cellStyle name="Neutral 8" xfId="2598" xr:uid="{80E3C32E-3D1F-4012-B6D0-F153B97FDF97}"/>
    <cellStyle name="Neutral 9" xfId="2599" xr:uid="{3A193E90-E1FB-4A4F-BA92-A7DED77D2879}"/>
    <cellStyle name="no dec" xfId="728" xr:uid="{651984C2-1135-4879-AED8-5C24FEF0CDAF}"/>
    <cellStyle name="Normal" xfId="0" builtinId="0"/>
    <cellStyle name="Normal - Style1" xfId="290" xr:uid="{00000000-0005-0000-0000-00004C010000}"/>
    <cellStyle name="Normal - Style1 2" xfId="729" xr:uid="{A5024C10-F2AC-45DD-90DB-468826E2A95B}"/>
    <cellStyle name="Normal 10" xfId="40" xr:uid="{00000000-0005-0000-0000-00004D010000}"/>
    <cellStyle name="Normal 10 10" xfId="1342" xr:uid="{4F1AAA3C-2153-4E13-B5A1-2A8345DCA17D}"/>
    <cellStyle name="Normal 10 10 2" xfId="10076" xr:uid="{80F5CFC0-D1E8-4EAA-B605-AC9ABE2BBFA3}"/>
    <cellStyle name="Normal 10 11" xfId="9858" xr:uid="{AC956A41-8D61-46AC-964C-BC17A4736462}"/>
    <cellStyle name="Normal 10 12" xfId="730" xr:uid="{2C735AA8-9B78-4609-BF5E-3415CEEB312B}"/>
    <cellStyle name="Normal 10 2" xfId="888" xr:uid="{94F5BD29-92EE-4E0A-AE70-9BAAA10167A0}"/>
    <cellStyle name="Normal 10 2 2" xfId="1201" xr:uid="{8A590927-E22B-4C34-9A0A-425EAE584646}"/>
    <cellStyle name="Normal 10 2 2 2" xfId="522" xr:uid="{00000000-0005-0000-0000-00004E010000}"/>
    <cellStyle name="Normal 10 2 2 2 2" xfId="10161" xr:uid="{7610D4A2-8BFC-44D7-8FDE-B65857AC29E0}"/>
    <cellStyle name="Normal 10 2 2 2 3" xfId="1427" xr:uid="{441741B4-F65A-48E3-9A6C-B21BE665F7F0}"/>
    <cellStyle name="Normal 10 2 2 3" xfId="9945" xr:uid="{D2BE9C85-0978-478F-ADC3-923F863C4EF1}"/>
    <cellStyle name="Normal 10 2 3" xfId="1283" xr:uid="{74F9537E-001E-48D9-9A77-1F584F6D87C0}"/>
    <cellStyle name="Normal 10 2 3 2" xfId="1499" xr:uid="{0F92B8C7-D9C0-4D99-A313-9F2900774C24}"/>
    <cellStyle name="Normal 10 2 3 2 2" xfId="10233" xr:uid="{AAE0BC7E-0ACE-4A6B-BA85-F8C15DA98AC4}"/>
    <cellStyle name="Normal 10 2 3 3" xfId="10017" xr:uid="{AD2CCC8B-9DCA-413D-85EB-56CA19F53F17}"/>
    <cellStyle name="Normal 10 2 4" xfId="1355" xr:uid="{BB67E699-49A3-4927-8A93-C57A7317D617}"/>
    <cellStyle name="Normal 10 2 4 2" xfId="10089" xr:uid="{E218A218-F272-4142-80D9-E5F6F7CD99E8}"/>
    <cellStyle name="Normal 10 2 5" xfId="9873" xr:uid="{2E59B057-21BF-4081-BE55-A9BCC7670DFB}"/>
    <cellStyle name="Normal 10 3" xfId="920" xr:uid="{7E6F04DB-7098-42B0-B493-86C4522C2178}"/>
    <cellStyle name="Normal 10 3 2" xfId="1214" xr:uid="{9F43E202-568A-4F5E-BA6D-559FFB88DCCC}"/>
    <cellStyle name="Normal 10 3 2 2" xfId="1440" xr:uid="{1C032816-BFF8-4961-99E8-D31F344ED771}"/>
    <cellStyle name="Normal 10 3 2 2 2" xfId="10174" xr:uid="{91B773A1-82F0-4AD2-BD53-55EE278B68D3}"/>
    <cellStyle name="Normal 10 3 2 3" xfId="9958" xr:uid="{238D4DFC-090F-4518-8A2B-97D2F34E0648}"/>
    <cellStyle name="Normal 10 3 3" xfId="1296" xr:uid="{C43A5322-7E8F-4B4B-AB9D-0161E7841130}"/>
    <cellStyle name="Normal 10 3 3 2" xfId="1512" xr:uid="{523CECE9-1039-4F03-B7DF-0D1782D80717}"/>
    <cellStyle name="Normal 10 3 3 2 2" xfId="10246" xr:uid="{EF922CFA-7700-4800-8BDD-B4EC53D87CA9}"/>
    <cellStyle name="Normal 10 3 3 3" xfId="10030" xr:uid="{66DB64FA-A2D5-4942-9610-48507C9C239A}"/>
    <cellStyle name="Normal 10 3 4" xfId="1368" xr:uid="{87411399-5FB3-4719-B4D3-58AA9070ED4E}"/>
    <cellStyle name="Normal 10 3 4 2" xfId="10102" xr:uid="{E619D958-856B-4A1A-A029-BAC7ECBAC6FB}"/>
    <cellStyle name="Normal 10 3 5" xfId="9886" xr:uid="{12CD82E9-447F-4890-B3A8-79D90A4D6B5B}"/>
    <cellStyle name="Normal 10 4" xfId="1118" xr:uid="{8B7E0893-E859-47BF-9F91-EC48037527FF}"/>
    <cellStyle name="Normal 10 4 2" xfId="1231" xr:uid="{5B873F3C-6546-43C5-A4A7-C01170B1420F}"/>
    <cellStyle name="Normal 10 4 2 2" xfId="1457" xr:uid="{D6E5DBEF-9DC2-4F28-8CAA-C3EC86F836F6}"/>
    <cellStyle name="Normal 10 4 2 2 2" xfId="10191" xr:uid="{49CAFD3D-932F-489F-9124-08C7B55F23B2}"/>
    <cellStyle name="Normal 10 4 2 3" xfId="9975" xr:uid="{05051BFD-86F1-41E0-94DE-058058A6202C}"/>
    <cellStyle name="Normal 10 4 3" xfId="1313" xr:uid="{F390A8EC-D919-4976-AD5B-F73DF058E62F}"/>
    <cellStyle name="Normal 10 4 3 2" xfId="1529" xr:uid="{5E88B78C-9F71-4E0C-805E-C3E47237BA94}"/>
    <cellStyle name="Normal 10 4 3 2 2" xfId="10263" xr:uid="{999E7EB5-76CD-49B8-A375-558A7035E7BB}"/>
    <cellStyle name="Normal 10 4 3 3" xfId="10047" xr:uid="{97D57D44-160F-4FFB-B4E7-339885E9110F}"/>
    <cellStyle name="Normal 10 4 4" xfId="1385" xr:uid="{72247493-44FA-4FFE-996E-A793A2115FDF}"/>
    <cellStyle name="Normal 10 4 4 2" xfId="10119" xr:uid="{8B642F9E-4E18-42A3-84B5-2F9C3CCFB54F}"/>
    <cellStyle name="Normal 10 4 5" xfId="9903" xr:uid="{3EA2A9A2-6E96-4117-A93E-BD379A5DF7A5}"/>
    <cellStyle name="Normal 10 5" xfId="1131" xr:uid="{69A8D45F-1745-4380-BF8C-F9642EDB7952}"/>
    <cellStyle name="Normal 10 5 2" xfId="1237" xr:uid="{1BD38C00-157D-4400-8DFB-3B8FD4F31BEA}"/>
    <cellStyle name="Normal 10 5 2 2" xfId="1463" xr:uid="{4E836A97-BD19-4772-ADE2-304E95FCDEB4}"/>
    <cellStyle name="Normal 10 5 2 2 2" xfId="10197" xr:uid="{6D6A3D31-076D-413E-ADAE-E589E83F49C5}"/>
    <cellStyle name="Normal 10 5 2 3" xfId="9981" xr:uid="{931FFF2E-2C83-4AD7-A943-1E1B4EF56851}"/>
    <cellStyle name="Normal 10 5 3" xfId="1319" xr:uid="{DA23ACC1-0AE2-4E7D-AB3C-23938A94FA6E}"/>
    <cellStyle name="Normal 10 5 3 2" xfId="1535" xr:uid="{2ED2E0A9-FDB8-4E42-BCB1-792A991316F9}"/>
    <cellStyle name="Normal 10 5 3 2 2" xfId="10269" xr:uid="{10C8D5CB-08C7-47AF-8563-F606CC2BDEAF}"/>
    <cellStyle name="Normal 10 5 3 3" xfId="10053" xr:uid="{7D758896-2EA4-43F3-8978-69A6611EB62E}"/>
    <cellStyle name="Normal 10 5 4" xfId="1391" xr:uid="{3D62508C-381E-4CED-8CDF-185EBFF33113}"/>
    <cellStyle name="Normal 10 5 4 2" xfId="10125" xr:uid="{C776C22C-D519-4F5E-9706-2F9B236A94E1}"/>
    <cellStyle name="Normal 10 5 5" xfId="9909" xr:uid="{5760898D-99E6-4F80-973B-F98860235C3B}"/>
    <cellStyle name="Normal 10 6" xfId="1148" xr:uid="{F6E81719-696A-410B-A211-E9C4FD85F5CB}"/>
    <cellStyle name="Normal 10 6 2" xfId="1251" xr:uid="{7113C2B1-5F40-4B4B-9220-1C0D3FCCE14D}"/>
    <cellStyle name="Normal 10 6 2 2" xfId="1467" xr:uid="{A39EBF8C-71A4-4537-8920-3DE4D6446B15}"/>
    <cellStyle name="Normal 10 6 2 2 2" xfId="10201" xr:uid="{A3B38F17-4F76-4125-91A2-7D9020226B4D}"/>
    <cellStyle name="Normal 10 6 2 3" xfId="9985" xr:uid="{68770543-2A20-448B-B28E-AEF98D242877}"/>
    <cellStyle name="Normal 10 6 3" xfId="1323" xr:uid="{2FB0870D-BED8-44FF-A257-F4E3DB462694}"/>
    <cellStyle name="Normal 10 6 3 2" xfId="1539" xr:uid="{E23F5155-4CE1-46AC-BB7C-FA0CE02C035D}"/>
    <cellStyle name="Normal 10 6 3 2 2" xfId="10273" xr:uid="{A9321CF8-7BB9-45AC-AA39-5E4F5A4CB7EE}"/>
    <cellStyle name="Normal 10 6 3 3" xfId="10057" xr:uid="{8AD00881-BABB-42BF-8631-35AEBED3C388}"/>
    <cellStyle name="Normal 10 6 4" xfId="1395" xr:uid="{9047A574-3975-4E5B-83A4-0133CB7BEF34}"/>
    <cellStyle name="Normal 10 6 4 2" xfId="10129" xr:uid="{38999E4B-33F8-402F-A7D0-C7FF397E6B74}"/>
    <cellStyle name="Normal 10 6 5" xfId="9913" xr:uid="{41591390-195C-44B7-9F33-C7B26BF45B7F}"/>
    <cellStyle name="Normal 10 7" xfId="1173" xr:uid="{93896CED-AE52-4ACA-B3BE-7C83757B93AE}"/>
    <cellStyle name="Normal 10 7 2" xfId="1266" xr:uid="{44DC5285-C241-4B2D-B1AF-4C4DC60FA1AA}"/>
    <cellStyle name="Normal 10 7 2 2" xfId="1482" xr:uid="{79ADA528-3348-4B78-8630-B5CB95BCD12D}"/>
    <cellStyle name="Normal 10 7 2 2 2" xfId="10216" xr:uid="{E6DE56E4-4964-432D-A84E-48ADF91EEFE4}"/>
    <cellStyle name="Normal 10 7 2 3" xfId="10000" xr:uid="{FD5DD163-8C1A-4304-AF8E-97B0497683B9}"/>
    <cellStyle name="Normal 10 7 3" xfId="1338" xr:uid="{8E9CDF16-332B-432E-958E-7009009880CB}"/>
    <cellStyle name="Normal 10 7 3 2" xfId="1554" xr:uid="{E75DEA6D-3C47-492E-8C86-1C7602DD7566}"/>
    <cellStyle name="Normal 10 7 3 2 2" xfId="10288" xr:uid="{4CBF0A8F-7D33-476E-A7F3-B9449C3A1226}"/>
    <cellStyle name="Normal 10 7 3 3" xfId="10072" xr:uid="{05B24570-8AD6-4681-90A0-EEC4A7D9B5E5}"/>
    <cellStyle name="Normal 10 7 4" xfId="1410" xr:uid="{AFF12D58-59D3-46B4-8D21-2F9D34956F9C}"/>
    <cellStyle name="Normal 10 7 4 2" xfId="10144" xr:uid="{A54084C1-53E9-4AE0-8B0E-91A8695E9A41}"/>
    <cellStyle name="Normal 10 7 5" xfId="9928" xr:uid="{3341F7A2-7C5B-4DF8-BBFD-879E709DA0BF}"/>
    <cellStyle name="Normal 10 8" xfId="1187" xr:uid="{5BD548EC-1F53-4552-B914-F275AD4E36BE}"/>
    <cellStyle name="Normal 10 8 2" xfId="1414" xr:uid="{B8AB3C22-75CB-4B8B-9A09-7DAAD47E6B0B}"/>
    <cellStyle name="Normal 10 8 2 2" xfId="10148" xr:uid="{4DF5731C-EA62-41E9-B2CC-C9FE34CC83D6}"/>
    <cellStyle name="Normal 10 8 3" xfId="9932" xr:uid="{33F9021D-2747-403D-80E0-AD4C38F2BBDA}"/>
    <cellStyle name="Normal 10 9" xfId="1270" xr:uid="{B4C3CDE2-61AE-454C-A82C-5B5EAD257ACE}"/>
    <cellStyle name="Normal 10 9 2" xfId="1486" xr:uid="{572E0433-4691-4EEE-ABC6-129F10B86EEC}"/>
    <cellStyle name="Normal 10 9 2 2" xfId="10220" xr:uid="{E3C890EE-2256-4A32-864B-43167FA2D451}"/>
    <cellStyle name="Normal 10 9 3" xfId="10004" xr:uid="{4CC67DB8-B65D-47B4-BEF0-CE96845A0BFC}"/>
    <cellStyle name="Normal 11" xfId="291" xr:uid="{00000000-0005-0000-0000-00004F010000}"/>
    <cellStyle name="Normal 11 2" xfId="483" xr:uid="{00000000-0005-0000-0000-000050010000}"/>
    <cellStyle name="Normal 11 2 2" xfId="1232" xr:uid="{DD4A6F41-402B-4072-8B12-BD8736D546E9}"/>
    <cellStyle name="Normal 11 2 2 2" xfId="1458" xr:uid="{52305A95-E828-42F6-A59D-C601C176467C}"/>
    <cellStyle name="Normal 11 2 2 2 2" xfId="10192" xr:uid="{A99D453C-96B1-4D6F-8AF6-0ECBC019427C}"/>
    <cellStyle name="Normal 11 2 2 3" xfId="9976" xr:uid="{CFE48525-1218-4E65-A014-BC70DA381FC9}"/>
    <cellStyle name="Normal 11 2 3" xfId="1314" xr:uid="{ACD454E2-997D-43E5-80DC-E41CFD73DBC1}"/>
    <cellStyle name="Normal 11 2 3 2" xfId="1530" xr:uid="{257E0F49-0644-4333-A06B-68BC96648E62}"/>
    <cellStyle name="Normal 11 2 3 2 2" xfId="10264" xr:uid="{F0BC1F9C-BBCC-4838-B4AA-5C64329CBDF1}"/>
    <cellStyle name="Normal 11 2 3 3" xfId="10048" xr:uid="{25A6E148-3007-4347-BA51-43325B4E1CBF}"/>
    <cellStyle name="Normal 11 2 4" xfId="1386" xr:uid="{ED4D2E15-8C55-49E1-8BF2-F554599F746F}"/>
    <cellStyle name="Normal 11 2 4 2" xfId="10120" xr:uid="{69AE1353-C541-49F3-9F48-98596F43444E}"/>
    <cellStyle name="Normal 11 2 5" xfId="9904" xr:uid="{C78B1509-8459-4051-A145-8B1C8F8F0CAC}"/>
    <cellStyle name="Normal 11 2 6" xfId="1119" xr:uid="{B1AA6227-4BBF-4DE9-9115-8B17CFE49752}"/>
    <cellStyle name="Normal 11 3" xfId="1132" xr:uid="{4561D70B-E830-423C-8798-C422B86B8BF8}"/>
    <cellStyle name="Normal 11 3 2" xfId="1238" xr:uid="{611E7797-4352-4076-9EE7-7342DBFF2A04}"/>
    <cellStyle name="Normal 11 3 2 2" xfId="1464" xr:uid="{2704E09B-6030-41DE-848C-C1D3D74BC934}"/>
    <cellStyle name="Normal 11 3 2 2 2" xfId="10198" xr:uid="{C9AC60A0-AACA-4C62-A20D-F0D60D59856D}"/>
    <cellStyle name="Normal 11 3 2 3" xfId="9982" xr:uid="{5CB9A631-A53C-4460-888A-80DACBF041EF}"/>
    <cellStyle name="Normal 11 3 3" xfId="1320" xr:uid="{203DFA16-3AA6-485C-921D-1D51EC9A9C3B}"/>
    <cellStyle name="Normal 11 3 3 2" xfId="1536" xr:uid="{06E92054-A2FD-4813-A6AC-FB39CCBC82D2}"/>
    <cellStyle name="Normal 11 3 3 2 2" xfId="10270" xr:uid="{17EC7FF0-4B88-44B1-9708-BC3A9536B6D5}"/>
    <cellStyle name="Normal 11 3 3 3" xfId="10054" xr:uid="{4085E52F-BB31-4DD7-9013-228AE7773AE0}"/>
    <cellStyle name="Normal 11 3 4" xfId="1392" xr:uid="{F340C00B-9931-42A0-BD9F-611A0023721B}"/>
    <cellStyle name="Normal 11 3 4 2" xfId="10126" xr:uid="{32B342B4-4123-47D4-B76D-16E5605C2F57}"/>
    <cellStyle name="Normal 11 3 5" xfId="9910" xr:uid="{CDB8CC6E-08BF-41EF-83EE-7C421C4CB19E}"/>
    <cellStyle name="Normal 11 4" xfId="1174" xr:uid="{8230FCC1-8FB6-468C-903F-7BFBF8E625A2}"/>
    <cellStyle name="Normal 11 4 2" xfId="1267" xr:uid="{D7391751-8799-4E3F-98FB-6D2C5B8E01F2}"/>
    <cellStyle name="Normal 11 4 2 2" xfId="1483" xr:uid="{A892317E-6C99-4CED-B009-27A9545DABFA}"/>
    <cellStyle name="Normal 11 4 2 2 2" xfId="10217" xr:uid="{0A0B5AC9-B47E-48BE-9DEE-60336F4CCA90}"/>
    <cellStyle name="Normal 11 4 2 3" xfId="10001" xr:uid="{D1D6D106-AECF-4D30-8BF5-B9CE0539C248}"/>
    <cellStyle name="Normal 11 4 3" xfId="1339" xr:uid="{1624256E-073F-4887-AF4F-60FF8E1948F6}"/>
    <cellStyle name="Normal 11 4 3 2" xfId="1555" xr:uid="{6CD83129-977B-4ACE-9B0B-023C160345AB}"/>
    <cellStyle name="Normal 11 4 3 2 2" xfId="10289" xr:uid="{378DA1B2-3443-4380-BD84-F19EECF4D63B}"/>
    <cellStyle name="Normal 11 4 3 3" xfId="10073" xr:uid="{B89DB351-0150-4BCE-9022-70F7783BC281}"/>
    <cellStyle name="Normal 11 4 4" xfId="1411" xr:uid="{B419126D-6208-474F-84D1-F49CD4B3D406}"/>
    <cellStyle name="Normal 11 4 4 2" xfId="10145" xr:uid="{32646A42-8BC8-452B-AEF0-91537E3B00BD}"/>
    <cellStyle name="Normal 11 4 5" xfId="9929" xr:uid="{F6F00F9F-F2B6-4021-8A0E-9A25C1C64A6E}"/>
    <cellStyle name="Normal 11 5" xfId="731" xr:uid="{B155847F-A771-4DCC-AC96-9E73A5984D85}"/>
    <cellStyle name="Normal 115 2" xfId="557" xr:uid="{647A3AE1-2AC1-44FF-8A50-687B2CB41DC7}"/>
    <cellStyle name="Normal 12" xfId="292" xr:uid="{00000000-0005-0000-0000-000051010000}"/>
    <cellStyle name="Normal 12 2" xfId="484" xr:uid="{00000000-0005-0000-0000-000052010000}"/>
    <cellStyle name="Normal 12 2 2" xfId="1120" xr:uid="{F446A592-FD7D-4D97-9748-F97C4F15060F}"/>
    <cellStyle name="Normal 12 3" xfId="1200" xr:uid="{936EFB27-ADE7-4537-8649-27D78C9D877E}"/>
    <cellStyle name="Normal 12 4" xfId="1558" xr:uid="{7348C44B-C6BC-4B51-AC2E-6D7660F0C6B6}"/>
    <cellStyle name="Normal 12 4 2" xfId="10292" xr:uid="{63961A5C-F341-432C-9467-82A37F125D74}"/>
    <cellStyle name="Normal 12 5" xfId="886" xr:uid="{3CE56113-B681-431C-B73F-753945692DF2}"/>
    <cellStyle name="Normal 13" xfId="293" xr:uid="{00000000-0005-0000-0000-000053010000}"/>
    <cellStyle name="Normal 13 2" xfId="485" xr:uid="{00000000-0005-0000-0000-000054010000}"/>
    <cellStyle name="Normal 13 2 2" xfId="2601" xr:uid="{70FD3F5C-CE2A-4277-8C23-11FCA59F0FC7}"/>
    <cellStyle name="Normal 13 2 3" xfId="2602" xr:uid="{C74788A4-5EFC-4556-BEC1-6F9AE27BB6D8}"/>
    <cellStyle name="Normal 13 2 4" xfId="2600" xr:uid="{E0E7D858-071B-4F09-B691-5DFE97E7E6D0}"/>
    <cellStyle name="Normal 13 3" xfId="2603" xr:uid="{FE856BC3-F343-42FF-8641-3D12860570F0}"/>
    <cellStyle name="Normal 13 4" xfId="2604" xr:uid="{7C767416-6552-4296-9C61-8C94505B3C46}"/>
    <cellStyle name="Normal 13 5" xfId="2605" xr:uid="{BAEF65F5-6247-42C4-9834-95C159858295}"/>
    <cellStyle name="Normal 13 6" xfId="985" xr:uid="{BD906F8B-DC1E-4E3F-8C3A-183F1C9100FF}"/>
    <cellStyle name="Normal 14" xfId="294" xr:uid="{00000000-0005-0000-0000-000055010000}"/>
    <cellStyle name="Normal 14 2" xfId="486" xr:uid="{00000000-0005-0000-0000-000056010000}"/>
    <cellStyle name="Normal 14 2 2" xfId="2606" xr:uid="{DC1D8B1D-B0F7-41DF-AB3C-A56B7D81789A}"/>
    <cellStyle name="Normal 14 3" xfId="984" xr:uid="{AD2DDF0A-4F74-4664-BB63-96D7C0A3D03F}"/>
    <cellStyle name="Normal 15" xfId="295" xr:uid="{00000000-0005-0000-0000-000057010000}"/>
    <cellStyle name="Normal 15 2" xfId="487" xr:uid="{00000000-0005-0000-0000-000058010000}"/>
    <cellStyle name="Normal 15 3" xfId="983" xr:uid="{615D0648-D92B-402A-8E5A-F5A0B63014FB}"/>
    <cellStyle name="Normal 16" xfId="296" xr:uid="{00000000-0005-0000-0000-000059010000}"/>
    <cellStyle name="Normal 16 2" xfId="2607" xr:uid="{9D60C3E1-191B-44C1-9FB0-A642C9949C47}"/>
    <cellStyle name="Normal 17" xfId="297" xr:uid="{00000000-0005-0000-0000-00005A010000}"/>
    <cellStyle name="Normal 17 2" xfId="2608" xr:uid="{F378C7EA-8A24-49C4-AD6F-8087291F2736}"/>
    <cellStyle name="Normal 18" xfId="298" xr:uid="{00000000-0005-0000-0000-00005B010000}"/>
    <cellStyle name="Normal 18 2" xfId="981" xr:uid="{AA397723-F20E-4D0D-98EB-DCB96B67B2C9}"/>
    <cellStyle name="Normal 18 2 2" xfId="980" xr:uid="{E705F5BF-C73E-4C50-8F77-CA7A8D4BB37C}"/>
    <cellStyle name="Normal 18 3" xfId="979" xr:uid="{45B7697A-93D1-4CD8-A549-508EF66069FE}"/>
    <cellStyle name="Normal 18 3 2" xfId="978" xr:uid="{95067855-EC82-4F5F-8E1A-76D05B274B30}"/>
    <cellStyle name="Normal 18 4" xfId="977" xr:uid="{EC12CB5A-EED4-454B-BE5B-588DA09EA42D}"/>
    <cellStyle name="Normal 18 4 2" xfId="976" xr:uid="{04159374-781F-4D86-B6BA-3356D1B8E67E}"/>
    <cellStyle name="Normal 18 5" xfId="975" xr:uid="{5EB6A4A2-82BE-4741-B055-629D0AFFFCED}"/>
    <cellStyle name="Normal 18 6" xfId="974" xr:uid="{EAAC353C-732E-4153-8506-E4F1E2B3844E}"/>
    <cellStyle name="Normal 18 7" xfId="982" xr:uid="{90DE7233-B0AD-4DED-9E09-3E39A54A5914}"/>
    <cellStyle name="Normal 19" xfId="299" xr:uid="{00000000-0005-0000-0000-00005C010000}"/>
    <cellStyle name="Normal 19 2" xfId="300" xr:uid="{00000000-0005-0000-0000-00005D010000}"/>
    <cellStyle name="Normal 19 2 2" xfId="2609" xr:uid="{37C69A0B-E541-40EA-8315-52E75C64D54A}"/>
    <cellStyle name="Normal 19 2 3" xfId="972" xr:uid="{B5D72E35-970C-4AFC-8A97-F0623776B81F}"/>
    <cellStyle name="Normal 19 3" xfId="2610" xr:uid="{0322D985-3A49-4874-82EF-6B825944A470}"/>
    <cellStyle name="Normal 19 4" xfId="973" xr:uid="{0262C6EF-BDF4-4391-9973-C1CD6ABE2714}"/>
    <cellStyle name="Normal 2" xfId="22" xr:uid="{00000000-0005-0000-0000-00005E010000}"/>
    <cellStyle name="Normal 2 11 8" xfId="10294" xr:uid="{35D22414-9E62-4E3C-A57E-36E621EC7E8D}"/>
    <cellStyle name="Normal 2 2" xfId="301" xr:uid="{00000000-0005-0000-0000-00005F010000}"/>
    <cellStyle name="Normal 2 2 2" xfId="541" xr:uid="{B4BE1833-AA7D-486A-B2A6-8FBA232D14B2}"/>
    <cellStyle name="Normal 2 2 3" xfId="530" xr:uid="{C7A40244-2218-4123-B55D-6A17CFF629C0}"/>
    <cellStyle name="Normal 2 2 3 2" xfId="1233" xr:uid="{FCE9FB5E-1E03-4135-813B-A778E8429783}"/>
    <cellStyle name="Normal 2 2 3 2 2" xfId="1459" xr:uid="{2C1C5891-E5D8-425A-AAF7-520D44C02CA3}"/>
    <cellStyle name="Normal 2 2 3 2 2 2" xfId="10193" xr:uid="{BDC2A0FC-1017-434B-BE79-8E8A2C754F28}"/>
    <cellStyle name="Normal 2 2 3 2 3" xfId="9977" xr:uid="{57053BBC-0275-43E4-831C-EA1EC9D96079}"/>
    <cellStyle name="Normal 2 2 3 3" xfId="1315" xr:uid="{806F057E-4498-494F-B869-28FFC86E53AE}"/>
    <cellStyle name="Normal 2 2 3 3 2" xfId="1531" xr:uid="{EC7A0963-2461-4297-97D6-552B00E8D274}"/>
    <cellStyle name="Normal 2 2 3 3 2 2" xfId="10265" xr:uid="{4A385958-3DB3-459E-AB3B-2DD39790823E}"/>
    <cellStyle name="Normal 2 2 3 3 3" xfId="10049" xr:uid="{067BF3CF-189F-4810-BCFE-54FC18BF543B}"/>
    <cellStyle name="Normal 2 2 3 4" xfId="1387" xr:uid="{4FF4093C-08AB-4229-8BE4-5C41F09F08C4}"/>
    <cellStyle name="Normal 2 2 3 4 2" xfId="10121" xr:uid="{4799DD13-6ACD-470E-BDB3-5F02BBBEBFD9}"/>
    <cellStyle name="Normal 2 2 3 5" xfId="9905" xr:uid="{7CF6EA2D-8D03-4CF8-9E2D-30B7DD67BB9F}"/>
    <cellStyle name="Normal 2 2 3 6" xfId="1122" xr:uid="{B5BF6793-7DEA-4374-ABD5-44BD61F2C58C}"/>
    <cellStyle name="Normal 2 2 4" xfId="1133" xr:uid="{F7C5DE35-0445-44E6-816C-CB748D7FA690}"/>
    <cellStyle name="Normal 2 2 4 2" xfId="1239" xr:uid="{556B3206-821A-41B7-89FC-FA0BF40D5182}"/>
    <cellStyle name="Normal 2 2 4 2 2" xfId="1465" xr:uid="{4B790D6C-C9C3-43C5-8B10-46125BE2576F}"/>
    <cellStyle name="Normal 2 2 4 2 2 2" xfId="10199" xr:uid="{310DFDF7-646E-45DB-8284-607053EBFECE}"/>
    <cellStyle name="Normal 2 2 4 2 3" xfId="9983" xr:uid="{AD685A77-7F31-4BE4-8E7C-8F9C68789FBA}"/>
    <cellStyle name="Normal 2 2 4 3" xfId="1321" xr:uid="{D7F7F776-E7A2-4F28-84B6-2105CCDF7F04}"/>
    <cellStyle name="Normal 2 2 4 3 2" xfId="1537" xr:uid="{EF49BED9-F28B-4165-932B-15FD5F1C06C2}"/>
    <cellStyle name="Normal 2 2 4 3 2 2" xfId="10271" xr:uid="{455660D8-CCC3-4E75-BBFB-C47843E38488}"/>
    <cellStyle name="Normal 2 2 4 3 3" xfId="10055" xr:uid="{EB720837-212A-4DCD-AD4E-852BBF476235}"/>
    <cellStyle name="Normal 2 2 4 4" xfId="1393" xr:uid="{5136994D-6C24-4D2F-B839-564E35DE47A0}"/>
    <cellStyle name="Normal 2 2 4 4 2" xfId="10127" xr:uid="{E9767D7D-25D5-4698-9A9F-0312E7CBA791}"/>
    <cellStyle name="Normal 2 2 4 5" xfId="9911" xr:uid="{63D481FE-BA60-493A-B2F3-1C2D7619C316}"/>
    <cellStyle name="Normal 2 2 5" xfId="1175" xr:uid="{D0621383-FD9C-413F-A44A-754700A212F9}"/>
    <cellStyle name="Normal 2 2 5 2" xfId="1268" xr:uid="{328A5508-C629-491A-8093-119001DC5D6B}"/>
    <cellStyle name="Normal 2 2 5 2 2" xfId="1484" xr:uid="{130CD4DB-EB27-4AB1-ADA6-0BB539606464}"/>
    <cellStyle name="Normal 2 2 5 2 2 2" xfId="10218" xr:uid="{CE351270-2E70-490A-9DF5-5BA3919B9F84}"/>
    <cellStyle name="Normal 2 2 5 2 3" xfId="10002" xr:uid="{ABB9022D-6FBC-4D27-A3E3-0BF8A9CB8CCB}"/>
    <cellStyle name="Normal 2 2 5 3" xfId="1340" xr:uid="{3B66EADD-F8F7-4596-A379-2556877DEB67}"/>
    <cellStyle name="Normal 2 2 5 3 2" xfId="1556" xr:uid="{73A473F6-E261-4CA5-BF2B-C0825EF0332C}"/>
    <cellStyle name="Normal 2 2 5 3 2 2" xfId="10290" xr:uid="{1C798DE3-9599-4635-9A4E-904C6E548D77}"/>
    <cellStyle name="Normal 2 2 5 3 3" xfId="10074" xr:uid="{487DA05A-6CBE-49E9-AD5D-3A1CB4DD7D37}"/>
    <cellStyle name="Normal 2 2 5 4" xfId="1412" xr:uid="{FB94987C-0916-4451-8CC4-DEABC461E64D}"/>
    <cellStyle name="Normal 2 2 5 4 2" xfId="10146" xr:uid="{6BB24C8C-CF07-4E1D-9613-D8BB966755A2}"/>
    <cellStyle name="Normal 2 2 5 5" xfId="9930" xr:uid="{B5E93717-57D0-44D2-A765-41B4F05BF059}"/>
    <cellStyle name="Normal 2 2 6" xfId="732" xr:uid="{E9C24164-84D2-48CA-8A81-BE65FBA0299D}"/>
    <cellStyle name="Normal 2 3" xfId="302" xr:uid="{00000000-0005-0000-0000-000060010000}"/>
    <cellStyle name="Normal 2 3 2" xfId="303" xr:uid="{00000000-0005-0000-0000-000061010000}"/>
    <cellStyle name="Normal 2 3 3" xfId="304" xr:uid="{00000000-0005-0000-0000-000062010000}"/>
    <cellStyle name="Normal 2 3 3 2" xfId="489" xr:uid="{00000000-0005-0000-0000-000063010000}"/>
    <cellStyle name="Normal 2 3 4" xfId="488" xr:uid="{00000000-0005-0000-0000-000064010000}"/>
    <cellStyle name="Normal 2 3 5" xfId="543" xr:uid="{FFE8226A-1811-4C3F-ABDA-E0B6042D3F01}"/>
    <cellStyle name="Normal 2 3 6" xfId="971" xr:uid="{08B3E6E6-9D33-480F-A7DC-8B2591CAEA0B}"/>
    <cellStyle name="Normal 2 4" xfId="305" xr:uid="{00000000-0005-0000-0000-000065010000}"/>
    <cellStyle name="Normal 2 4 2" xfId="306" xr:uid="{00000000-0005-0000-0000-000066010000}"/>
    <cellStyle name="Normal 2 4 3" xfId="556" xr:uid="{9790FFE5-3E50-4B62-99F8-C51944BB6DCA}"/>
    <cellStyle name="Normal 2 4 4" xfId="1121" xr:uid="{7FF89519-7C86-4988-A50A-DBCEC8232FF6}"/>
    <cellStyle name="Normal 2 5" xfId="307" xr:uid="{00000000-0005-0000-0000-000067010000}"/>
    <cellStyle name="Normal 2 6" xfId="409" xr:uid="{00000000-0005-0000-0000-000068010000}"/>
    <cellStyle name="Normal 2 6 2" xfId="499" xr:uid="{00000000-0005-0000-0000-000069010000}"/>
    <cellStyle name="Normal 2 7" xfId="425" xr:uid="{00000000-0005-0000-0000-00006A010000}"/>
    <cellStyle name="Normal 2 7 2" xfId="511" xr:uid="{00000000-0005-0000-0000-00006B010000}"/>
    <cellStyle name="Normal 2 8" xfId="431" xr:uid="{00000000-0005-0000-0000-00006C010000}"/>
    <cellStyle name="Normal 2 8 2" xfId="516" xr:uid="{00000000-0005-0000-0000-00006D010000}"/>
    <cellStyle name="Normal 2 9" xfId="438" xr:uid="{00000000-0005-0000-0000-00006E010000}"/>
    <cellStyle name="Normal 20" xfId="308" xr:uid="{00000000-0005-0000-0000-00006F010000}"/>
    <cellStyle name="Normal 20 2" xfId="309" xr:uid="{00000000-0005-0000-0000-000070010000}"/>
    <cellStyle name="Normal 20 2 2" xfId="969" xr:uid="{9BE076BA-3939-4190-98E5-16F3C719CBE6}"/>
    <cellStyle name="Normal 20 3" xfId="970" xr:uid="{C2361185-C9A2-4822-83CF-9C24851FA380}"/>
    <cellStyle name="Normal 21" xfId="310" xr:uid="{00000000-0005-0000-0000-000071010000}"/>
    <cellStyle name="Normal 21 2" xfId="311" xr:uid="{00000000-0005-0000-0000-000072010000}"/>
    <cellStyle name="Normal 21 2 2" xfId="967" xr:uid="{D252C075-FCAB-4369-91D7-6996C4DC24AE}"/>
    <cellStyle name="Normal 21 3" xfId="968" xr:uid="{51AFFB9A-2726-4A82-B24E-1BF14A60BA96}"/>
    <cellStyle name="Normal 22" xfId="312" xr:uid="{00000000-0005-0000-0000-000073010000}"/>
    <cellStyle name="Normal 22 2" xfId="313" xr:uid="{00000000-0005-0000-0000-000074010000}"/>
    <cellStyle name="Normal 23" xfId="314" xr:uid="{00000000-0005-0000-0000-000075010000}"/>
    <cellStyle name="Normal 23 2" xfId="315" xr:uid="{00000000-0005-0000-0000-000076010000}"/>
    <cellStyle name="Normal 24" xfId="316" xr:uid="{00000000-0005-0000-0000-000077010000}"/>
    <cellStyle name="Normal 24 2" xfId="317" xr:uid="{00000000-0005-0000-0000-000078010000}"/>
    <cellStyle name="Normal 25" xfId="318" xr:uid="{00000000-0005-0000-0000-000079010000}"/>
    <cellStyle name="Normal 25 2" xfId="319" xr:uid="{00000000-0005-0000-0000-00007A010000}"/>
    <cellStyle name="Normal 25 3" xfId="2611" xr:uid="{47377DBB-ADE9-45F8-B91B-5887E4DE6177}"/>
    <cellStyle name="Normal 26" xfId="320" xr:uid="{00000000-0005-0000-0000-00007B010000}"/>
    <cellStyle name="Normal 26 2" xfId="321" xr:uid="{00000000-0005-0000-0000-00007C010000}"/>
    <cellStyle name="Normal 26 2 2" xfId="2613" xr:uid="{AABBD29E-776E-4AEB-B577-7383DA44C93E}"/>
    <cellStyle name="Normal 26 3" xfId="2612" xr:uid="{8E7E7ECE-ED86-46E6-AE3A-A4CB1FDBC6F0}"/>
    <cellStyle name="Normal 27" xfId="322" xr:uid="{00000000-0005-0000-0000-00007D010000}"/>
    <cellStyle name="Normal 27 2" xfId="323" xr:uid="{00000000-0005-0000-0000-00007E010000}"/>
    <cellStyle name="Normal 27 3" xfId="2614" xr:uid="{3E75EB7A-2004-40D7-AF76-3C86FE7893A5}"/>
    <cellStyle name="Normal 28" xfId="324" xr:uid="{00000000-0005-0000-0000-00007F010000}"/>
    <cellStyle name="Normal 28 2" xfId="325" xr:uid="{00000000-0005-0000-0000-000080010000}"/>
    <cellStyle name="Normal 28 3" xfId="2615" xr:uid="{4BBC7DEC-5F49-4F32-B91D-E8B3C31F28A7}"/>
    <cellStyle name="Normal 29" xfId="326" xr:uid="{00000000-0005-0000-0000-000081010000}"/>
    <cellStyle name="Normal 29 2" xfId="327" xr:uid="{00000000-0005-0000-0000-000082010000}"/>
    <cellStyle name="Normal 29 2 2" xfId="539" xr:uid="{A536DB14-01DB-4A41-AD30-E721CC7DC64C}"/>
    <cellStyle name="Normal 29 2 3" xfId="2617" xr:uid="{60AF5DF9-EBA3-4004-9EC7-CB2598E45CAF}"/>
    <cellStyle name="Normal 29 3" xfId="2618" xr:uid="{79F417B3-54C4-4CAC-818F-BB83D4426FBC}"/>
    <cellStyle name="Normal 29 4" xfId="2616" xr:uid="{B531300F-CE1C-4909-AC76-35E8BB70B482}"/>
    <cellStyle name="Normal 3" xfId="33" xr:uid="{00000000-0005-0000-0000-000083010000}"/>
    <cellStyle name="Normal 3 10" xfId="441" xr:uid="{00000000-0005-0000-0000-000084010000}"/>
    <cellStyle name="Normal 3 11" xfId="547" xr:uid="{35683043-CC2D-4EDF-9623-0F03436712F0}"/>
    <cellStyle name="Normal 3 2" xfId="328" xr:uid="{00000000-0005-0000-0000-000085010000}"/>
    <cellStyle name="Normal 3 2 2" xfId="329" xr:uid="{00000000-0005-0000-0000-000086010000}"/>
    <cellStyle name="Normal 3 2 2 2" xfId="330" xr:uid="{00000000-0005-0000-0000-000087010000}"/>
    <cellStyle name="Normal 3 2 3" xfId="331" xr:uid="{00000000-0005-0000-0000-000088010000}"/>
    <cellStyle name="Normal 3 2 3 2" xfId="490" xr:uid="{00000000-0005-0000-0000-000089010000}"/>
    <cellStyle name="Normal 3 3" xfId="332" xr:uid="{00000000-0005-0000-0000-00008A010000}"/>
    <cellStyle name="Normal 3 3 2" xfId="333" xr:uid="{00000000-0005-0000-0000-00008B010000}"/>
    <cellStyle name="Normal 3 3 2 2" xfId="492" xr:uid="{00000000-0005-0000-0000-00008C010000}"/>
    <cellStyle name="Normal 3 3 3" xfId="491" xr:uid="{00000000-0005-0000-0000-00008D010000}"/>
    <cellStyle name="Normal 3 3 4" xfId="1123" xr:uid="{94DBD3AE-E3F5-44F7-B833-CF9C6970CB55}"/>
    <cellStyle name="Normal 3 4" xfId="334" xr:uid="{00000000-0005-0000-0000-00008E010000}"/>
    <cellStyle name="Normal 3 5" xfId="335" xr:uid="{00000000-0005-0000-0000-00008F010000}"/>
    <cellStyle name="Normal 3 5 2" xfId="493" xr:uid="{00000000-0005-0000-0000-000090010000}"/>
    <cellStyle name="Normal 3 6" xfId="336" xr:uid="{00000000-0005-0000-0000-000091010000}"/>
    <cellStyle name="Normal 3 7" xfId="412" xr:uid="{00000000-0005-0000-0000-000092010000}"/>
    <cellStyle name="Normal 3 7 2" xfId="502" xr:uid="{00000000-0005-0000-0000-000093010000}"/>
    <cellStyle name="Normal 3 8" xfId="428" xr:uid="{00000000-0005-0000-0000-000094010000}"/>
    <cellStyle name="Normal 3 8 2" xfId="514" xr:uid="{00000000-0005-0000-0000-000095010000}"/>
    <cellStyle name="Normal 3 9" xfId="434" xr:uid="{00000000-0005-0000-0000-000096010000}"/>
    <cellStyle name="Normal 3 9 2" xfId="519" xr:uid="{00000000-0005-0000-0000-000097010000}"/>
    <cellStyle name="Normal 3_Attach O, GG, Support -New Method 2-14-11" xfId="733" xr:uid="{2B3E1ED8-F678-4DA1-8539-D68AAB00CFE3}"/>
    <cellStyle name="Normal 30" xfId="337" xr:uid="{00000000-0005-0000-0000-000099010000}"/>
    <cellStyle name="Normal 30 2" xfId="2619" xr:uid="{E2199658-6F1F-4A54-B94B-ADFF3479C292}"/>
    <cellStyle name="Normal 304 3" xfId="546" xr:uid="{3B06CA73-2735-4A83-BCC9-9B871A1B139F}"/>
    <cellStyle name="Normal 31" xfId="338" xr:uid="{00000000-0005-0000-0000-00009A010000}"/>
    <cellStyle name="Normal 31 2" xfId="2620" xr:uid="{DAF64943-B29B-4435-88C2-7B145711C5B0}"/>
    <cellStyle name="Normal 32" xfId="339" xr:uid="{00000000-0005-0000-0000-00009B010000}"/>
    <cellStyle name="Normal 32 2" xfId="2622" xr:uid="{11C19073-A3B5-4014-BB3D-1018E61E0599}"/>
    <cellStyle name="Normal 32 3" xfId="2621" xr:uid="{202A4EF2-EC59-4E0B-8BA5-205E85747E9B}"/>
    <cellStyle name="Normal 33" xfId="340" xr:uid="{00000000-0005-0000-0000-00009C010000}"/>
    <cellStyle name="Normal 33 2" xfId="2624" xr:uid="{0E0C25E8-8F48-4E3F-94DC-970A69DF0590}"/>
    <cellStyle name="Normal 33 3" xfId="2623" xr:uid="{95FEB32A-58AB-47EC-B0A4-F5DBAABE0FD7}"/>
    <cellStyle name="Normal 34" xfId="407" xr:uid="{00000000-0005-0000-0000-00009D010000}"/>
    <cellStyle name="Normal 34 2" xfId="2625" xr:uid="{C2D0615B-5035-4398-AC7F-FB8463922879}"/>
    <cellStyle name="Normal 35" xfId="408" xr:uid="{00000000-0005-0000-0000-00009E010000}"/>
    <cellStyle name="Normal 35 2" xfId="9855" xr:uid="{EA7D613D-1D59-487D-A949-4C96ACF77253}"/>
    <cellStyle name="Normal 36" xfId="414" xr:uid="{00000000-0005-0000-0000-00009F010000}"/>
    <cellStyle name="Normal 36 2" xfId="504" xr:uid="{00000000-0005-0000-0000-0000A0010000}"/>
    <cellStyle name="Normal 37" xfId="416" xr:uid="{00000000-0005-0000-0000-0000A1010000}"/>
    <cellStyle name="Normal 37 2" xfId="506" xr:uid="{00000000-0005-0000-0000-0000A2010000}"/>
    <cellStyle name="Normal 38" xfId="418" xr:uid="{00000000-0005-0000-0000-0000A3010000}"/>
    <cellStyle name="Normal 38 2" xfId="508" xr:uid="{00000000-0005-0000-0000-0000A4010000}"/>
    <cellStyle name="Normal 39" xfId="421" xr:uid="{00000000-0005-0000-0000-0000A5010000}"/>
    <cellStyle name="Normal 4" xfId="38" xr:uid="{00000000-0005-0000-0000-0000A6010000}"/>
    <cellStyle name="Normal 4 10" xfId="2626" xr:uid="{540EA084-42CA-4122-B77F-00A5524CAAA9}"/>
    <cellStyle name="Normal 4 10 2" xfId="2627" xr:uid="{1538938A-8E76-4798-9FB7-7300BD63472F}"/>
    <cellStyle name="Normal 4 10 2 2" xfId="2628" xr:uid="{0831C647-F61C-486D-887C-6812B58FEC82}"/>
    <cellStyle name="Normal 4 10 2 2 2" xfId="2629" xr:uid="{C55FBD80-58F8-426D-B5E9-4C8ED05798A4}"/>
    <cellStyle name="Normal 4 10 2 2 2 2" xfId="2630" xr:uid="{BF9B3D4A-1F6E-4462-BF70-5D9EC52F858D}"/>
    <cellStyle name="Normal 4 10 2 2 2 3" xfId="2631" xr:uid="{2677EEEF-B1B6-46FC-A191-997E32B31EC6}"/>
    <cellStyle name="Normal 4 10 2 2 3" xfId="2632" xr:uid="{BC4AF226-C564-4E5E-AD0B-CBC0904B70B0}"/>
    <cellStyle name="Normal 4 10 2 2 4" xfId="2633" xr:uid="{83D48B1F-8ACB-491E-B39B-56FA8A4F1C82}"/>
    <cellStyle name="Normal 4 10 2 2 5" xfId="2634" xr:uid="{409A3765-B5E4-497A-9932-FE7090F0492B}"/>
    <cellStyle name="Normal 4 10 2 3" xfId="2635" xr:uid="{9E45B9B0-D8A1-4DB0-A536-596C3E179FB3}"/>
    <cellStyle name="Normal 4 10 2 3 2" xfId="2636" xr:uid="{5A22A072-DE20-4C3C-B0C0-D84A615D0437}"/>
    <cellStyle name="Normal 4 10 2 3 2 2" xfId="2637" xr:uid="{54C2DB16-F6C9-4A83-AEE1-3D5A740377B1}"/>
    <cellStyle name="Normal 4 10 2 3 2 3" xfId="2638" xr:uid="{78B94867-A4D9-4B1C-9F0E-96788839AD86}"/>
    <cellStyle name="Normal 4 10 2 3 3" xfId="2639" xr:uid="{21FB0AD8-FE86-4B94-96CD-B8ECF1C46889}"/>
    <cellStyle name="Normal 4 10 2 3 4" xfId="2640" xr:uid="{053518E7-1CC3-4B44-81CA-774A428F61DD}"/>
    <cellStyle name="Normal 4 10 2 3 5" xfId="2641" xr:uid="{4F9A9BA6-D8C9-4107-8EF1-E9E98A6B4ABB}"/>
    <cellStyle name="Normal 4 10 2 4" xfId="2642" xr:uid="{FF9F407B-41C5-4D60-9D6C-92987A95F1E2}"/>
    <cellStyle name="Normal 4 10 2 4 2" xfId="2643" xr:uid="{7FFD20DF-3A20-49D4-A09B-138DEA25A8BB}"/>
    <cellStyle name="Normal 4 10 2 4 3" xfId="2644" xr:uid="{2468E79F-B4B3-428A-8549-233EACD3A0A1}"/>
    <cellStyle name="Normal 4 10 2 5" xfId="2645" xr:uid="{1DD55E92-1E54-4500-960C-CA66F221CB7F}"/>
    <cellStyle name="Normal 4 10 2 6" xfId="2646" xr:uid="{55026032-9AD8-4CDF-9E13-BFE8585234D9}"/>
    <cellStyle name="Normal 4 10 2 7" xfId="2647" xr:uid="{E6822CE7-0377-46B7-AA32-A261C7B3706C}"/>
    <cellStyle name="Normal 4 10 3" xfId="2648" xr:uid="{7D3564A3-5B80-44AC-9F76-787FAE684BA2}"/>
    <cellStyle name="Normal 4 10 3 2" xfId="2649" xr:uid="{AB19FB00-2B52-4B63-98FA-E7BB68EDA917}"/>
    <cellStyle name="Normal 4 10 3 2 2" xfId="2650" xr:uid="{AB0E52DA-B06A-4372-8DF4-B9EE9A37864B}"/>
    <cellStyle name="Normal 4 10 3 2 3" xfId="2651" xr:uid="{00A7BCB2-74AC-4B6D-AC3A-DF69167348AB}"/>
    <cellStyle name="Normal 4 10 3 3" xfId="2652" xr:uid="{84532654-3E9E-4253-86AC-DD8EFF3D93D2}"/>
    <cellStyle name="Normal 4 10 3 4" xfId="2653" xr:uid="{9D3BB596-6964-46BF-A2C3-DA5CC6DBDC63}"/>
    <cellStyle name="Normal 4 10 3 5" xfId="2654" xr:uid="{E1B4B5CC-C6B9-4377-A634-CA6D951A22FD}"/>
    <cellStyle name="Normal 4 10 4" xfId="2655" xr:uid="{2064BB82-5EA9-46E1-B428-CF4AC119106D}"/>
    <cellStyle name="Normal 4 10 4 2" xfId="2656" xr:uid="{2889881C-FAEB-48E2-8122-363CDFDE3D23}"/>
    <cellStyle name="Normal 4 10 4 2 2" xfId="2657" xr:uid="{94E59EDE-4ACD-48BF-A508-F46EEFD9E7A8}"/>
    <cellStyle name="Normal 4 10 4 2 3" xfId="2658" xr:uid="{B3527B71-09E5-467F-B99A-15BF3345E345}"/>
    <cellStyle name="Normal 4 10 4 3" xfId="2659" xr:uid="{BC021E5A-2CD0-40B6-A05A-E13A4B074E1D}"/>
    <cellStyle name="Normal 4 10 4 4" xfId="2660" xr:uid="{B3AF263E-1649-4CA9-9306-05A04DEEF8F7}"/>
    <cellStyle name="Normal 4 10 4 5" xfId="2661" xr:uid="{E85648F1-0339-48BC-BE37-32ED0AE175DE}"/>
    <cellStyle name="Normal 4 10 5" xfId="2662" xr:uid="{CC1FE5CD-B57A-408D-B9AD-90EDDA43296E}"/>
    <cellStyle name="Normal 4 10 5 2" xfId="2663" xr:uid="{3B2F285B-C21A-4DF8-805F-924254DA3A03}"/>
    <cellStyle name="Normal 4 10 5 3" xfId="2664" xr:uid="{54476754-189D-4306-B3FF-CA663A5FA154}"/>
    <cellStyle name="Normal 4 10 6" xfId="2665" xr:uid="{E88D857B-7D5E-49CF-BA2E-024328CAFE81}"/>
    <cellStyle name="Normal 4 10 7" xfId="2666" xr:uid="{869CBE8A-C368-4308-8726-65AA71FF6ED4}"/>
    <cellStyle name="Normal 4 10 8" xfId="2667" xr:uid="{5C11CBDE-9A06-4F7C-997F-4E5ED4AA5586}"/>
    <cellStyle name="Normal 4 11" xfId="2668" xr:uid="{04C3BD84-B71A-4FA1-91FE-03ABAF08FEF0}"/>
    <cellStyle name="Normal 4 11 2" xfId="2669" xr:uid="{85D28768-B544-4CC2-9CA6-0452EBEC1A1E}"/>
    <cellStyle name="Normal 4 11 2 2" xfId="2670" xr:uid="{AAA17706-ACC5-498F-B20C-53B3364F288B}"/>
    <cellStyle name="Normal 4 11 2 2 2" xfId="2671" xr:uid="{F7D596B5-2C4B-48E1-9D0C-0F71C9CECDFE}"/>
    <cellStyle name="Normal 4 11 2 2 3" xfId="2672" xr:uid="{41E93462-BAEB-4197-A92D-9E83851EBF63}"/>
    <cellStyle name="Normal 4 11 2 3" xfId="2673" xr:uid="{D4C3CC51-4717-48DC-AD47-2DF0085D750C}"/>
    <cellStyle name="Normal 4 11 2 4" xfId="2674" xr:uid="{9C9C3E83-AF3A-4BE1-A0DB-2B7E30B4AB82}"/>
    <cellStyle name="Normal 4 11 2 5" xfId="2675" xr:uid="{7C0192DF-C40C-4496-B179-B8739DDC884E}"/>
    <cellStyle name="Normal 4 11 3" xfId="2676" xr:uid="{ED46346A-0414-4E7C-92B9-393247C87748}"/>
    <cellStyle name="Normal 4 11 3 2" xfId="2677" xr:uid="{24349869-28D2-4534-B5D5-0423AE6485AB}"/>
    <cellStyle name="Normal 4 11 3 2 2" xfId="2678" xr:uid="{EE1A1563-72C2-4F24-8E86-32ECA6898B89}"/>
    <cellStyle name="Normal 4 11 3 2 3" xfId="2679" xr:uid="{26100BC5-DD7F-4613-8576-B253A70659B2}"/>
    <cellStyle name="Normal 4 11 3 3" xfId="2680" xr:uid="{7A3F6026-A5A2-4735-B981-9E9CE28B0BE1}"/>
    <cellStyle name="Normal 4 11 3 4" xfId="2681" xr:uid="{17786CF0-D39E-4815-B4A8-6744604D8848}"/>
    <cellStyle name="Normal 4 11 3 5" xfId="2682" xr:uid="{E6037184-167B-4917-B585-67AB9D5735FE}"/>
    <cellStyle name="Normal 4 11 4" xfId="2683" xr:uid="{4F929133-2C22-4C49-B367-841B954FC1B8}"/>
    <cellStyle name="Normal 4 11 4 2" xfId="2684" xr:uid="{0735C77B-B5B4-4B55-9306-A3D1AF9A272F}"/>
    <cellStyle name="Normal 4 11 4 3" xfId="2685" xr:uid="{895E1CC6-0D2A-45BB-A7D6-7D2253B3D682}"/>
    <cellStyle name="Normal 4 11 5" xfId="2686" xr:uid="{08B50BBB-3598-4E0A-A071-F71AFC46357E}"/>
    <cellStyle name="Normal 4 11 6" xfId="2687" xr:uid="{A61A46F0-982C-4F2C-990E-5E32D2C8DB60}"/>
    <cellStyle name="Normal 4 11 7" xfId="2688" xr:uid="{C08FD2FD-4EA5-4845-AB7A-C56CBA917E73}"/>
    <cellStyle name="Normal 4 12" xfId="2689" xr:uid="{7BE62901-C07E-459E-87FB-27A60B26BE4D}"/>
    <cellStyle name="Normal 4 12 2" xfId="2690" xr:uid="{D1607324-2352-4C2B-BC55-5C464E3FCC64}"/>
    <cellStyle name="Normal 4 12 2 2" xfId="2691" xr:uid="{EA5E96DF-5B08-431C-88B6-358B8591C51C}"/>
    <cellStyle name="Normal 4 12 2 2 2" xfId="2692" xr:uid="{C1CDC412-F646-49C7-B3EC-78D7B798F794}"/>
    <cellStyle name="Normal 4 12 2 2 3" xfId="2693" xr:uid="{1C76BEDE-BAE0-4A6B-BB37-B0964D3489F0}"/>
    <cellStyle name="Normal 4 12 2 3" xfId="2694" xr:uid="{C65803E9-6E68-4768-A22A-7FA99230FFDD}"/>
    <cellStyle name="Normal 4 12 2 4" xfId="2695" xr:uid="{E041249A-F0CC-49D2-AF92-ADDBA4C097E5}"/>
    <cellStyle name="Normal 4 12 2 5" xfId="2696" xr:uid="{C61771DD-4846-4573-81AA-00BA2BAD39C5}"/>
    <cellStyle name="Normal 4 12 3" xfId="2697" xr:uid="{94CE02BF-FD13-4BF2-B02D-41FAF0DCDE7E}"/>
    <cellStyle name="Normal 4 12 3 2" xfId="2698" xr:uid="{0AA2F874-6D35-45DA-877F-C5C191A66979}"/>
    <cellStyle name="Normal 4 12 3 2 2" xfId="2699" xr:uid="{1FF9BB1D-615B-4728-942D-144518876CD4}"/>
    <cellStyle name="Normal 4 12 3 2 3" xfId="2700" xr:uid="{A556DED3-A63D-45FA-ACB6-CF47FF5EEDD4}"/>
    <cellStyle name="Normal 4 12 3 3" xfId="2701" xr:uid="{ADB2F832-BAD8-48D4-A3D0-53D9378AB038}"/>
    <cellStyle name="Normal 4 12 3 4" xfId="2702" xr:uid="{26901E31-05A6-4C17-8062-51F2C71AFBE1}"/>
    <cellStyle name="Normal 4 12 3 5" xfId="2703" xr:uid="{FF24B736-3E80-4F95-8A2C-A761B730E93E}"/>
    <cellStyle name="Normal 4 12 4" xfId="2704" xr:uid="{A6A3086B-33BA-45C9-A2F7-605869FBE912}"/>
    <cellStyle name="Normal 4 12 4 2" xfId="2705" xr:uid="{700B0AEC-76D9-483A-93B2-D417C82326BD}"/>
    <cellStyle name="Normal 4 12 4 3" xfId="2706" xr:uid="{A29DFD58-7DB1-4FDA-8772-853A71CF0B3A}"/>
    <cellStyle name="Normal 4 12 5" xfId="2707" xr:uid="{FB170E78-AB7B-4BE9-AAE4-1834A6290C0C}"/>
    <cellStyle name="Normal 4 12 6" xfId="2708" xr:uid="{CC82A4D1-60DC-4FE0-A6FC-F0994E8EE851}"/>
    <cellStyle name="Normal 4 12 7" xfId="2709" xr:uid="{C82E6056-763E-4F0C-8C7B-8D79752488BF}"/>
    <cellStyle name="Normal 4 13" xfId="2710" xr:uid="{600BE492-B6EC-447B-9353-2D54DF701290}"/>
    <cellStyle name="Normal 4 13 2" xfId="2711" xr:uid="{843B0160-74FD-41E1-A267-B940566F93E1}"/>
    <cellStyle name="Normal 4 13 2 2" xfId="2712" xr:uid="{30FA0D5B-24F5-4381-BCD1-5E86CEDB4DAF}"/>
    <cellStyle name="Normal 4 13 2 3" xfId="2713" xr:uid="{FEBC754C-7466-4A5C-8454-303540E4F5A0}"/>
    <cellStyle name="Normal 4 13 3" xfId="2714" xr:uid="{EB93B862-FAD2-49C7-A2BC-BCFE0559011F}"/>
    <cellStyle name="Normal 4 13 4" xfId="2715" xr:uid="{0B445C26-9580-43CD-8559-9AA81C9F04DA}"/>
    <cellStyle name="Normal 4 13 5" xfId="2716" xr:uid="{224D0E78-343F-46AB-A1A7-DC7A4CA731C3}"/>
    <cellStyle name="Normal 4 14" xfId="2717" xr:uid="{8AEE4CCE-7C05-483B-83D1-4CEE4C54F7F8}"/>
    <cellStyle name="Normal 4 14 2" xfId="2718" xr:uid="{7057F3EB-388E-4482-BC51-F91F6BC97FCF}"/>
    <cellStyle name="Normal 4 14 2 2" xfId="2719" xr:uid="{70E84A54-C206-4536-971A-DC348EC6DB00}"/>
    <cellStyle name="Normal 4 14 2 3" xfId="2720" xr:uid="{E8A15317-63C7-4DD5-B341-3E201C33B99F}"/>
    <cellStyle name="Normal 4 14 3" xfId="2721" xr:uid="{64286DE1-6AC9-4E15-B79F-A0DF07A23167}"/>
    <cellStyle name="Normal 4 14 4" xfId="2722" xr:uid="{36F059EA-30EB-4E02-852A-8930AE7CFF21}"/>
    <cellStyle name="Normal 4 14 5" xfId="2723" xr:uid="{7D34A939-C6B4-499A-B184-FA044B3510EA}"/>
    <cellStyle name="Normal 4 15 2 3" xfId="537" xr:uid="{736E6F28-3F79-48A4-8361-8D73A13660E6}"/>
    <cellStyle name="Normal 4 2" xfId="341" xr:uid="{00000000-0005-0000-0000-0000A7010000}"/>
    <cellStyle name="Normal 4 2 10" xfId="2724" xr:uid="{AE7B4619-F00B-4CD0-97DC-88F5352305E5}"/>
    <cellStyle name="Normal 4 2 10 2" xfId="2725" xr:uid="{1468BBD8-A298-4C1B-99C0-526712FC4125}"/>
    <cellStyle name="Normal 4 2 10 2 2" xfId="2726" xr:uid="{3AE18A09-9E3C-444D-A596-098620584BDD}"/>
    <cellStyle name="Normal 4 2 10 2 2 2" xfId="2727" xr:uid="{69884F60-D047-4FCE-838E-8959B33976AB}"/>
    <cellStyle name="Normal 4 2 10 2 2 3" xfId="2728" xr:uid="{A713F9B8-4AEF-4ED8-91DE-E0A73C4BF40C}"/>
    <cellStyle name="Normal 4 2 10 2 3" xfId="2729" xr:uid="{9ADFE2AB-DFEA-4FFB-AF85-5C2AC1E5824E}"/>
    <cellStyle name="Normal 4 2 10 2 4" xfId="2730" xr:uid="{CCFAAA0B-5D0E-4CEB-AAD4-689ADD7DFBB6}"/>
    <cellStyle name="Normal 4 2 10 2 5" xfId="2731" xr:uid="{61C5C9D2-413F-4C4A-A7E2-863B13A26ECD}"/>
    <cellStyle name="Normal 4 2 10 3" xfId="2732" xr:uid="{A15E7CBD-F89B-43C8-A862-77EFDEDB2A54}"/>
    <cellStyle name="Normal 4 2 10 3 2" xfId="2733" xr:uid="{DBC314FE-0C42-42D5-A2AE-C8F7EEE5CB31}"/>
    <cellStyle name="Normal 4 2 10 3 2 2" xfId="2734" xr:uid="{274FFAF4-5E4E-4E36-86CC-8F55D391CBE3}"/>
    <cellStyle name="Normal 4 2 10 3 2 3" xfId="2735" xr:uid="{AF6CABA1-EC60-4BE8-A6B0-3B9419FF2BD8}"/>
    <cellStyle name="Normal 4 2 10 3 3" xfId="2736" xr:uid="{49DE696C-6009-4B17-8280-24140B19661D}"/>
    <cellStyle name="Normal 4 2 10 3 4" xfId="2737" xr:uid="{B7F82C94-C41B-4ABB-BD80-2A88256620C1}"/>
    <cellStyle name="Normal 4 2 10 3 5" xfId="2738" xr:uid="{D8671A97-E65C-4C0B-AB1F-E228AD77ECBF}"/>
    <cellStyle name="Normal 4 2 10 4" xfId="2739" xr:uid="{C3F608A8-24CA-4933-9B1F-63798CCCEF31}"/>
    <cellStyle name="Normal 4 2 10 4 2" xfId="2740" xr:uid="{A76BA780-3161-4CEC-8701-B5A7D67742D6}"/>
    <cellStyle name="Normal 4 2 10 4 3" xfId="2741" xr:uid="{E9B4DA24-71A8-412C-AFB2-C545CD499945}"/>
    <cellStyle name="Normal 4 2 10 5" xfId="2742" xr:uid="{6418034F-CB21-4B56-935C-252F82DC13A8}"/>
    <cellStyle name="Normal 4 2 10 6" xfId="2743" xr:uid="{2F31BEA9-5D85-4C9E-B722-F35E56B72C14}"/>
    <cellStyle name="Normal 4 2 10 7" xfId="2744" xr:uid="{8F1CDC16-000D-4F1E-B7E0-3C4726707407}"/>
    <cellStyle name="Normal 4 2 11" xfId="2745" xr:uid="{906D963B-38BB-4005-B540-3A4053976AB5}"/>
    <cellStyle name="Normal 4 2 11 2" xfId="2746" xr:uid="{33DC3C7F-2296-40FF-90F8-DC1405F0AFC2}"/>
    <cellStyle name="Normal 4 2 11 2 2" xfId="2747" xr:uid="{A4353670-5944-4EE8-8C05-E50F15EB4A63}"/>
    <cellStyle name="Normal 4 2 11 2 3" xfId="2748" xr:uid="{E260D124-8FBD-4498-85D0-463785B39B96}"/>
    <cellStyle name="Normal 4 2 11 3" xfId="2749" xr:uid="{5FF647D5-2AB2-4E7F-BEFA-220FC6C58210}"/>
    <cellStyle name="Normal 4 2 11 4" xfId="2750" xr:uid="{08B447DD-198F-4CDC-9815-F83DE89C933E}"/>
    <cellStyle name="Normal 4 2 11 5" xfId="2751" xr:uid="{0DEB7298-1AA0-4F51-AD78-BFC93389673A}"/>
    <cellStyle name="Normal 4 2 12" xfId="2752" xr:uid="{4EA28265-74B4-4C08-9144-9DF8E9133D1B}"/>
    <cellStyle name="Normal 4 2 12 2" xfId="2753" xr:uid="{724ADDF9-0B04-4CD6-A669-D380184A54B8}"/>
    <cellStyle name="Normal 4 2 12 2 2" xfId="2754" xr:uid="{B535A450-6118-45D7-938D-E0AB4283869E}"/>
    <cellStyle name="Normal 4 2 12 2 3" xfId="2755" xr:uid="{84A731C3-915B-4AF0-A993-B675773739C3}"/>
    <cellStyle name="Normal 4 2 12 3" xfId="2756" xr:uid="{11C2A50D-AD32-4B0D-A6D8-7B969748477C}"/>
    <cellStyle name="Normal 4 2 12 4" xfId="2757" xr:uid="{EEE4F718-E13A-4E63-A466-16FFF73CDD91}"/>
    <cellStyle name="Normal 4 2 12 5" xfId="2758" xr:uid="{CD8CD240-441C-46C2-A256-2E27E132FB9B}"/>
    <cellStyle name="Normal 4 2 2" xfId="966" xr:uid="{2481CCAB-F4AF-4C8C-AC98-C063A2A3E856}"/>
    <cellStyle name="Normal 4 2 2 10" xfId="2759" xr:uid="{CD52C144-1F75-48E9-8F17-1D675ACD1BF3}"/>
    <cellStyle name="Normal 4 2 2 10 2" xfId="2760" xr:uid="{868FAA8B-28B3-487B-8017-CAB80B62D0CA}"/>
    <cellStyle name="Normal 4 2 2 10 2 2" xfId="2761" xr:uid="{D7CE58D9-A664-4EF0-982A-BAE71A7DB9EE}"/>
    <cellStyle name="Normal 4 2 2 10 2 3" xfId="2762" xr:uid="{09F3F796-0ED6-4D0F-BBF3-BAC60A728A17}"/>
    <cellStyle name="Normal 4 2 2 10 3" xfId="2763" xr:uid="{0706E581-740E-48BD-BA07-43E28E98627B}"/>
    <cellStyle name="Normal 4 2 2 10 4" xfId="2764" xr:uid="{B4A2A85A-1FFF-415D-94BA-039252F85FEF}"/>
    <cellStyle name="Normal 4 2 2 10 5" xfId="2765" xr:uid="{0577429C-6ABC-4275-A8ED-33E74258339A}"/>
    <cellStyle name="Normal 4 2 2 11" xfId="2766" xr:uid="{7F0383BB-78D7-40F1-9842-27D646D9F02D}"/>
    <cellStyle name="Normal 4 2 2 11 2" xfId="2767" xr:uid="{8BFB382C-AC8E-4C99-B5D9-8C110EDB0C2B}"/>
    <cellStyle name="Normal 4 2 2 11 3" xfId="2768" xr:uid="{E9DF7F93-E5B2-4B1E-B6F5-CE73AD960630}"/>
    <cellStyle name="Normal 4 2 2 12" xfId="2769" xr:uid="{4DFFE5BC-206D-4D43-BB54-2D8325075670}"/>
    <cellStyle name="Normal 4 2 2 13" xfId="2770" xr:uid="{C4B13C60-7B5A-4D66-80FD-BFCC1DD04D24}"/>
    <cellStyle name="Normal 4 2 2 14" xfId="2771" xr:uid="{2046F519-DE8B-454D-8CF1-6DEEBBD11133}"/>
    <cellStyle name="Normal 4 2 2 2" xfId="2772" xr:uid="{CB50BB55-D0A4-4E18-8DAF-D55B518A17FD}"/>
    <cellStyle name="Normal 4 2 2 2 10" xfId="2773" xr:uid="{92C7DC4A-32BE-4933-9B07-6DD256EE6F69}"/>
    <cellStyle name="Normal 4 2 2 2 10 2" xfId="2774" xr:uid="{F82438C4-24CA-4041-9E29-CF777BC7ECA5}"/>
    <cellStyle name="Normal 4 2 2 2 10 3" xfId="2775" xr:uid="{20462B0A-3476-4A1C-AFCC-759EEFB70394}"/>
    <cellStyle name="Normal 4 2 2 2 11" xfId="2776" xr:uid="{21B9C92B-642B-4CBD-A9E8-7302EB4E3083}"/>
    <cellStyle name="Normal 4 2 2 2 12" xfId="2777" xr:uid="{5BB8AF61-E0AC-432A-A277-B85493904054}"/>
    <cellStyle name="Normal 4 2 2 2 13" xfId="2778" xr:uid="{829B45B6-3179-4EFA-89B3-CDFD04AA9B31}"/>
    <cellStyle name="Normal 4 2 2 2 2" xfId="2779" xr:uid="{36A3E220-6906-4864-B695-D6BC87B2A6C6}"/>
    <cellStyle name="Normal 4 2 2 2 2 2" xfId="2780" xr:uid="{7046A267-0817-408C-9E83-5ED170E1D5EE}"/>
    <cellStyle name="Normal 4 2 2 2 2 2 2" xfId="2781" xr:uid="{71EDFDA4-6453-4CD0-B162-6B2D7D272931}"/>
    <cellStyle name="Normal 4 2 2 2 2 2 2 2" xfId="2782" xr:uid="{9118555E-9BAB-43F2-82BD-0AF83B7A543E}"/>
    <cellStyle name="Normal 4 2 2 2 2 2 2 2 2" xfId="2783" xr:uid="{5DD610AF-DC46-4085-92BA-0F03635507BF}"/>
    <cellStyle name="Normal 4 2 2 2 2 2 2 2 2 2" xfId="2784" xr:uid="{EEB41FBF-A2CA-4FFC-8224-5CD2D19F70CA}"/>
    <cellStyle name="Normal 4 2 2 2 2 2 2 2 2 3" xfId="2785" xr:uid="{48F2F95E-BBEF-49B6-8C20-A9CB764559DC}"/>
    <cellStyle name="Normal 4 2 2 2 2 2 2 2 3" xfId="2786" xr:uid="{FA5A59BB-8290-4750-8FC3-2C0198DDA4CE}"/>
    <cellStyle name="Normal 4 2 2 2 2 2 2 2 4" xfId="2787" xr:uid="{2150E6BD-4380-4F69-9AB9-B6EA739B98D5}"/>
    <cellStyle name="Normal 4 2 2 2 2 2 2 2 5" xfId="2788" xr:uid="{B1C19E36-3504-471D-94C8-1AC6F442D53F}"/>
    <cellStyle name="Normal 4 2 2 2 2 2 2 3" xfId="2789" xr:uid="{F44CE254-FD09-41C1-BD44-43D619D99B36}"/>
    <cellStyle name="Normal 4 2 2 2 2 2 2 3 2" xfId="2790" xr:uid="{8C238E93-8287-42E3-B6E9-BF851D59164A}"/>
    <cellStyle name="Normal 4 2 2 2 2 2 2 3 2 2" xfId="2791" xr:uid="{475B120A-928E-4CDC-AF4A-560E7705DD39}"/>
    <cellStyle name="Normal 4 2 2 2 2 2 2 3 2 3" xfId="2792" xr:uid="{D6623263-F07E-4FB7-8EBE-939761F658B8}"/>
    <cellStyle name="Normal 4 2 2 2 2 2 2 3 3" xfId="2793" xr:uid="{03E15B90-7515-451C-A824-6C98C20A903E}"/>
    <cellStyle name="Normal 4 2 2 2 2 2 2 3 4" xfId="2794" xr:uid="{F203D4A0-82F6-42AD-8BBD-4770424E7BAB}"/>
    <cellStyle name="Normal 4 2 2 2 2 2 2 3 5" xfId="2795" xr:uid="{6BCC693B-0213-4F22-AA68-02E4D6954E2F}"/>
    <cellStyle name="Normal 4 2 2 2 2 2 2 4" xfId="2796" xr:uid="{03194CCA-083C-492D-AEC6-17E2B3E62075}"/>
    <cellStyle name="Normal 4 2 2 2 2 2 2 4 2" xfId="2797" xr:uid="{EA7AEA32-7C3B-4EA1-874F-192133E82612}"/>
    <cellStyle name="Normal 4 2 2 2 2 2 2 4 3" xfId="2798" xr:uid="{19B21F91-617F-4D00-81D7-56012EA6C3EB}"/>
    <cellStyle name="Normal 4 2 2 2 2 2 2 5" xfId="2799" xr:uid="{268BCD06-5FD7-4D3F-AA35-F0E60CF29D0B}"/>
    <cellStyle name="Normal 4 2 2 2 2 2 2 6" xfId="2800" xr:uid="{1B09C19C-A800-4898-8664-188D0F5FA285}"/>
    <cellStyle name="Normal 4 2 2 2 2 2 2 7" xfId="2801" xr:uid="{3C9EAB9E-D421-415D-8F9B-376FBB243509}"/>
    <cellStyle name="Normal 4 2 2 2 2 2 3" xfId="2802" xr:uid="{F942887D-2B5F-4460-8835-8D49F88819AD}"/>
    <cellStyle name="Normal 4 2 2 2 2 2 3 2" xfId="2803" xr:uid="{3344F3A4-AC8D-4F27-B05E-397A800A288B}"/>
    <cellStyle name="Normal 4 2 2 2 2 2 3 2 2" xfId="2804" xr:uid="{5FD79C16-6773-4A5C-BCE7-BB10DFAFD7F1}"/>
    <cellStyle name="Normal 4 2 2 2 2 2 3 2 3" xfId="2805" xr:uid="{34D57566-3C6A-468E-BC08-48D8282D01AB}"/>
    <cellStyle name="Normal 4 2 2 2 2 2 3 3" xfId="2806" xr:uid="{35074A16-D196-40C8-9666-9D7AD556586E}"/>
    <cellStyle name="Normal 4 2 2 2 2 2 3 4" xfId="2807" xr:uid="{031B4C2E-F7F7-48DC-BD1B-281E8EBA9ABE}"/>
    <cellStyle name="Normal 4 2 2 2 2 2 3 5" xfId="2808" xr:uid="{5946D6D3-F492-4EE3-8470-059D0FAEBE9E}"/>
    <cellStyle name="Normal 4 2 2 2 2 2 4" xfId="2809" xr:uid="{11885476-5768-483A-9B9F-15FB23A05947}"/>
    <cellStyle name="Normal 4 2 2 2 2 2 4 2" xfId="2810" xr:uid="{0AFF8AA9-199C-4202-B907-C2D5F029EF40}"/>
    <cellStyle name="Normal 4 2 2 2 2 2 4 2 2" xfId="2811" xr:uid="{8CBBEBDB-2192-48FE-A11B-4183496BDAC0}"/>
    <cellStyle name="Normal 4 2 2 2 2 2 4 2 3" xfId="2812" xr:uid="{E597F76A-7908-4F9A-91AC-5FC35E4C4F56}"/>
    <cellStyle name="Normal 4 2 2 2 2 2 4 3" xfId="2813" xr:uid="{A1586FA7-B66E-4206-A129-3DA0F181613A}"/>
    <cellStyle name="Normal 4 2 2 2 2 2 4 4" xfId="2814" xr:uid="{12F2D128-2BF2-470C-AB92-E13B2D17D682}"/>
    <cellStyle name="Normal 4 2 2 2 2 2 4 5" xfId="2815" xr:uid="{DD926801-6665-4CF1-99E9-4D3666EF1425}"/>
    <cellStyle name="Normal 4 2 2 2 2 2 5" xfId="2816" xr:uid="{9564CC1D-FF0E-4A78-AD34-F7903C72CC59}"/>
    <cellStyle name="Normal 4 2 2 2 2 2 5 2" xfId="2817" xr:uid="{F7D175F4-5805-4E85-B4D2-14ACF2331F33}"/>
    <cellStyle name="Normal 4 2 2 2 2 2 5 3" xfId="2818" xr:uid="{A00FB8A9-C79E-491D-973A-6CCA04917D31}"/>
    <cellStyle name="Normal 4 2 2 2 2 2 6" xfId="2819" xr:uid="{1DC88833-101F-4BF3-9940-271DFF8F7DE2}"/>
    <cellStyle name="Normal 4 2 2 2 2 2 7" xfId="2820" xr:uid="{FC551218-5699-497D-9AD3-88360C0E7D53}"/>
    <cellStyle name="Normal 4 2 2 2 2 2 8" xfId="2821" xr:uid="{A2898A64-AC8F-445C-AA5A-B1582FB76CE5}"/>
    <cellStyle name="Normal 4 2 2 2 2 3" xfId="2822" xr:uid="{C1471978-D9A3-4DE8-A818-21944A374B2A}"/>
    <cellStyle name="Normal 4 2 2 2 2 3 2" xfId="2823" xr:uid="{52FB2E50-FC70-4FFB-85D1-62AFBDD52D4C}"/>
    <cellStyle name="Normal 4 2 2 2 2 3 2 2" xfId="2824" xr:uid="{7B9B4166-AA9B-451B-9EB9-D1D7BB84C1FE}"/>
    <cellStyle name="Normal 4 2 2 2 2 3 2 2 2" xfId="2825" xr:uid="{4741A856-6BEE-401B-88F7-AAD5DB799E25}"/>
    <cellStyle name="Normal 4 2 2 2 2 3 2 2 3" xfId="2826" xr:uid="{88521862-D257-4158-8957-C023D97A02CD}"/>
    <cellStyle name="Normal 4 2 2 2 2 3 2 3" xfId="2827" xr:uid="{D0E92CAE-CCFD-4A9C-BAD6-AEF10C3EEAA5}"/>
    <cellStyle name="Normal 4 2 2 2 2 3 2 4" xfId="2828" xr:uid="{5CFF1B5D-2F0F-4517-A326-BB550F089CB9}"/>
    <cellStyle name="Normal 4 2 2 2 2 3 2 5" xfId="2829" xr:uid="{5FA3E92A-0F27-4836-A04D-9BE7EC523577}"/>
    <cellStyle name="Normal 4 2 2 2 2 3 3" xfId="2830" xr:uid="{DFDFC306-D134-4BB7-A644-3F3257DFC437}"/>
    <cellStyle name="Normal 4 2 2 2 2 3 3 2" xfId="2831" xr:uid="{4354E81B-E8CF-4FE5-A283-14112F744D85}"/>
    <cellStyle name="Normal 4 2 2 2 2 3 3 2 2" xfId="2832" xr:uid="{A2610A1C-1817-4E0B-B3EC-815C0F394264}"/>
    <cellStyle name="Normal 4 2 2 2 2 3 3 2 3" xfId="2833" xr:uid="{619585D1-6A83-4AEB-B804-69A0D78AEA87}"/>
    <cellStyle name="Normal 4 2 2 2 2 3 3 3" xfId="2834" xr:uid="{B2BAD859-AC08-45F3-AA05-21A70D297AEE}"/>
    <cellStyle name="Normal 4 2 2 2 2 3 3 4" xfId="2835" xr:uid="{2B3CFA1C-CEED-4C18-9D9E-B0EEDE1C8732}"/>
    <cellStyle name="Normal 4 2 2 2 2 3 3 5" xfId="2836" xr:uid="{88CCF4FF-7610-436A-A5A6-D8E0C8A951BC}"/>
    <cellStyle name="Normal 4 2 2 2 2 3 4" xfId="2837" xr:uid="{D6B1BB7A-2DC2-4C82-BDCF-DF24917CBFCC}"/>
    <cellStyle name="Normal 4 2 2 2 2 3 4 2" xfId="2838" xr:uid="{248F5BC6-7725-41E6-9268-DB4277119DD8}"/>
    <cellStyle name="Normal 4 2 2 2 2 3 4 3" xfId="2839" xr:uid="{FDD223DC-9280-4826-B52B-3CB498DC4C79}"/>
    <cellStyle name="Normal 4 2 2 2 2 3 5" xfId="2840" xr:uid="{9F464947-5A3F-4CBA-9249-A5E22876E7B1}"/>
    <cellStyle name="Normal 4 2 2 2 2 3 6" xfId="2841" xr:uid="{B81CDB1A-4FEB-48ED-B960-277355C4464A}"/>
    <cellStyle name="Normal 4 2 2 2 2 3 7" xfId="2842" xr:uid="{B94A41BA-FE1E-44D9-A466-0CAA04A996BD}"/>
    <cellStyle name="Normal 4 2 2 2 2 4" xfId="2843" xr:uid="{BF73165C-53E3-4E59-8553-23BA39A8385F}"/>
    <cellStyle name="Normal 4 2 2 2 2 4 2" xfId="2844" xr:uid="{99DDB54A-B6D3-44E3-B805-C96C0161BAEA}"/>
    <cellStyle name="Normal 4 2 2 2 2 4 2 2" xfId="2845" xr:uid="{D84B0648-4CAE-4B4A-A57B-49D7CF5B0E6D}"/>
    <cellStyle name="Normal 4 2 2 2 2 4 2 3" xfId="2846" xr:uid="{89D035AB-095B-4906-95DD-9ED35487ACA4}"/>
    <cellStyle name="Normal 4 2 2 2 2 4 3" xfId="2847" xr:uid="{865AE4E9-9A5D-44DC-8AB4-00F876C805D7}"/>
    <cellStyle name="Normal 4 2 2 2 2 4 4" xfId="2848" xr:uid="{C847F69C-84FD-450C-8F13-9B8542FE16C7}"/>
    <cellStyle name="Normal 4 2 2 2 2 4 5" xfId="2849" xr:uid="{88A67A9B-EC9F-4258-AF4A-D8F5C27D1716}"/>
    <cellStyle name="Normal 4 2 2 2 2 5" xfId="2850" xr:uid="{703735EE-373B-46B6-95EA-837D836007AE}"/>
    <cellStyle name="Normal 4 2 2 2 2 5 2" xfId="2851" xr:uid="{9A964EE8-D2DB-4B11-AB4F-EB4757A73E1B}"/>
    <cellStyle name="Normal 4 2 2 2 2 5 2 2" xfId="2852" xr:uid="{E5F299AA-89A6-4663-B5F8-3398FD253749}"/>
    <cellStyle name="Normal 4 2 2 2 2 5 2 3" xfId="2853" xr:uid="{89844FA4-4375-46B7-88E7-611FB2F1E945}"/>
    <cellStyle name="Normal 4 2 2 2 2 5 3" xfId="2854" xr:uid="{DA6BE329-F80E-4BBA-89A9-BB274BDED433}"/>
    <cellStyle name="Normal 4 2 2 2 2 5 4" xfId="2855" xr:uid="{8A08EB8E-8883-4ACB-8ED5-F89129E50895}"/>
    <cellStyle name="Normal 4 2 2 2 2 5 5" xfId="2856" xr:uid="{8574056A-E0B7-4A2C-AE1B-1C2E3F572C66}"/>
    <cellStyle name="Normal 4 2 2 2 2 6" xfId="2857" xr:uid="{9EBA727C-0E9F-4EB0-8245-F52F6EA22778}"/>
    <cellStyle name="Normal 4 2 2 2 2 6 2" xfId="2858" xr:uid="{798E7322-CD88-411E-BB0F-2D64BFEC1B07}"/>
    <cellStyle name="Normal 4 2 2 2 2 6 3" xfId="2859" xr:uid="{1D0B1F9F-257B-4548-A6B9-9D7638E442F5}"/>
    <cellStyle name="Normal 4 2 2 2 2 7" xfId="2860" xr:uid="{E77835C2-9270-44A0-97A1-0D645D7CB7D9}"/>
    <cellStyle name="Normal 4 2 2 2 2 8" xfId="2861" xr:uid="{8F716505-8AB1-4F53-8320-534C50C1FD6C}"/>
    <cellStyle name="Normal 4 2 2 2 2 9" xfId="2862" xr:uid="{09CCFB72-6FF2-424B-AD83-89D944611D02}"/>
    <cellStyle name="Normal 4 2 2 2 3" xfId="2863" xr:uid="{9FB452A0-4E4E-444E-A7AF-F2177364C286}"/>
    <cellStyle name="Normal 4 2 2 2 3 2" xfId="2864" xr:uid="{F337852E-C468-4211-B0B0-3261E1567F77}"/>
    <cellStyle name="Normal 4 2 2 2 3 2 2" xfId="2865" xr:uid="{31082196-2527-489E-80DF-F18968519217}"/>
    <cellStyle name="Normal 4 2 2 2 3 2 2 2" xfId="2866" xr:uid="{FD8E3691-0925-4B16-9F01-56ED025FAC48}"/>
    <cellStyle name="Normal 4 2 2 2 3 2 2 2 2" xfId="2867" xr:uid="{D074C000-A1FB-4338-829A-266654279546}"/>
    <cellStyle name="Normal 4 2 2 2 3 2 2 2 2 2" xfId="2868" xr:uid="{6433F41C-D804-4211-948F-5847752738CA}"/>
    <cellStyle name="Normal 4 2 2 2 3 2 2 2 2 3" xfId="2869" xr:uid="{2843724C-AA14-4301-9770-E7713AD0E082}"/>
    <cellStyle name="Normal 4 2 2 2 3 2 2 2 3" xfId="2870" xr:uid="{2DF89D2B-B71B-4A73-A387-B292CED12177}"/>
    <cellStyle name="Normal 4 2 2 2 3 2 2 2 4" xfId="2871" xr:uid="{EDAA0D8B-6E04-4F25-85C9-4A4ECA2B71E1}"/>
    <cellStyle name="Normal 4 2 2 2 3 2 2 2 5" xfId="2872" xr:uid="{3AA54698-52FC-4667-9E5C-01CFC0CF73EA}"/>
    <cellStyle name="Normal 4 2 2 2 3 2 2 3" xfId="2873" xr:uid="{32980EB5-7C3E-43A3-88F1-DE26C2D168E6}"/>
    <cellStyle name="Normal 4 2 2 2 3 2 2 3 2" xfId="2874" xr:uid="{9704AC50-9113-4C8D-BB2F-80AC6FCBF82C}"/>
    <cellStyle name="Normal 4 2 2 2 3 2 2 3 2 2" xfId="2875" xr:uid="{D2B35405-4872-4E40-AA91-CA5A6C28EFDE}"/>
    <cellStyle name="Normal 4 2 2 2 3 2 2 3 2 3" xfId="2876" xr:uid="{2ED7C5E9-EC25-49F2-8574-F1C5C3E3E172}"/>
    <cellStyle name="Normal 4 2 2 2 3 2 2 3 3" xfId="2877" xr:uid="{B6344D07-5B61-4729-A12F-0905787F556E}"/>
    <cellStyle name="Normal 4 2 2 2 3 2 2 3 4" xfId="2878" xr:uid="{D80A9CC6-DBB1-4B3F-89E3-2CF691C118FC}"/>
    <cellStyle name="Normal 4 2 2 2 3 2 2 3 5" xfId="2879" xr:uid="{DD894195-F7C3-44D5-B820-3DA2C7F24672}"/>
    <cellStyle name="Normal 4 2 2 2 3 2 2 4" xfId="2880" xr:uid="{6E2E6ECE-10E5-4BD6-9DAA-5853EAA2868C}"/>
    <cellStyle name="Normal 4 2 2 2 3 2 2 4 2" xfId="2881" xr:uid="{35291802-6A61-4794-9684-DCF118405089}"/>
    <cellStyle name="Normal 4 2 2 2 3 2 2 4 3" xfId="2882" xr:uid="{B473DC46-6DA3-4AB0-AE4D-CCA2AF88A065}"/>
    <cellStyle name="Normal 4 2 2 2 3 2 2 5" xfId="2883" xr:uid="{AA310BEE-9E58-4CDE-9116-4BFDD531D62A}"/>
    <cellStyle name="Normal 4 2 2 2 3 2 2 6" xfId="2884" xr:uid="{47BBF2E5-4119-4B75-969D-CF6DDDC2D66E}"/>
    <cellStyle name="Normal 4 2 2 2 3 2 2 7" xfId="2885" xr:uid="{982547C3-9BD4-4B90-8C7E-4D2B01AD0842}"/>
    <cellStyle name="Normal 4 2 2 2 3 2 3" xfId="2886" xr:uid="{51C80D54-21EE-4EBF-AC54-9F26D85DB187}"/>
    <cellStyle name="Normal 4 2 2 2 3 2 3 2" xfId="2887" xr:uid="{C894FE76-E185-4C38-98DB-AD8B665244E3}"/>
    <cellStyle name="Normal 4 2 2 2 3 2 3 2 2" xfId="2888" xr:uid="{E41515FF-F491-4AD2-84BC-6C62E6BA5DA3}"/>
    <cellStyle name="Normal 4 2 2 2 3 2 3 2 3" xfId="2889" xr:uid="{8B708E60-ACC4-41B4-8038-32CF52E12CBB}"/>
    <cellStyle name="Normal 4 2 2 2 3 2 3 3" xfId="2890" xr:uid="{5F6E27B2-CCDB-4886-B813-635F603D4A0B}"/>
    <cellStyle name="Normal 4 2 2 2 3 2 3 4" xfId="2891" xr:uid="{F00F8BB0-B4D2-465D-9A98-843E97F5038E}"/>
    <cellStyle name="Normal 4 2 2 2 3 2 3 5" xfId="2892" xr:uid="{29E23F96-1E2C-4FAC-889D-07D17AC82ADB}"/>
    <cellStyle name="Normal 4 2 2 2 3 2 4" xfId="2893" xr:uid="{BB6C7392-ABBB-4F71-B344-3933136CF367}"/>
    <cellStyle name="Normal 4 2 2 2 3 2 4 2" xfId="2894" xr:uid="{49449604-3F64-493A-A235-BEC398CFC887}"/>
    <cellStyle name="Normal 4 2 2 2 3 2 4 2 2" xfId="2895" xr:uid="{7AF0C244-1575-495D-9B39-9C283B6F2E99}"/>
    <cellStyle name="Normal 4 2 2 2 3 2 4 2 3" xfId="2896" xr:uid="{1DDB8668-532E-47BA-9239-91DF2C61D44F}"/>
    <cellStyle name="Normal 4 2 2 2 3 2 4 3" xfId="2897" xr:uid="{C5052D5A-B8F0-4BA7-941E-61D3B6AE709D}"/>
    <cellStyle name="Normal 4 2 2 2 3 2 4 4" xfId="2898" xr:uid="{DD79E70F-7757-412F-AFCB-6AD1964E5F31}"/>
    <cellStyle name="Normal 4 2 2 2 3 2 4 5" xfId="2899" xr:uid="{56EBA027-7A66-4B0D-B1F7-15B3D029422A}"/>
    <cellStyle name="Normal 4 2 2 2 3 2 5" xfId="2900" xr:uid="{BE976AC5-0364-4DC2-BB37-9BEA4AA2AEC7}"/>
    <cellStyle name="Normal 4 2 2 2 3 2 5 2" xfId="2901" xr:uid="{52FDA787-AFB3-44D4-8E20-B3D52BB95D46}"/>
    <cellStyle name="Normal 4 2 2 2 3 2 5 3" xfId="2902" xr:uid="{D27977E6-2030-464D-B3C9-569D3910F55F}"/>
    <cellStyle name="Normal 4 2 2 2 3 2 6" xfId="2903" xr:uid="{AA64DB8D-82F7-49B9-A6FC-1AB105CA42C3}"/>
    <cellStyle name="Normal 4 2 2 2 3 2 7" xfId="2904" xr:uid="{76ADAA62-9DDB-44B3-AB67-FD0F31952BD5}"/>
    <cellStyle name="Normal 4 2 2 2 3 2 8" xfId="2905" xr:uid="{6324789C-072C-4B27-84B6-4F35FCD3F84D}"/>
    <cellStyle name="Normal 4 2 2 2 3 3" xfId="2906" xr:uid="{9CD19167-EDA8-4E52-A22D-C944DAD2FA8E}"/>
    <cellStyle name="Normal 4 2 2 2 3 3 2" xfId="2907" xr:uid="{2108D7B7-A31C-4501-B115-17D4BF25676C}"/>
    <cellStyle name="Normal 4 2 2 2 3 3 2 2" xfId="2908" xr:uid="{CB8DCA12-A423-4B4D-ACB4-1EE2A5A26351}"/>
    <cellStyle name="Normal 4 2 2 2 3 3 2 2 2" xfId="2909" xr:uid="{22BFC20B-F91A-499D-83D2-C054ECBE4371}"/>
    <cellStyle name="Normal 4 2 2 2 3 3 2 2 3" xfId="2910" xr:uid="{59DE75DD-01E0-418C-A289-CCFBE02D2D29}"/>
    <cellStyle name="Normal 4 2 2 2 3 3 2 3" xfId="2911" xr:uid="{B96505A7-F36C-4B27-9646-6923904C8238}"/>
    <cellStyle name="Normal 4 2 2 2 3 3 2 4" xfId="2912" xr:uid="{1A01B4D4-25D7-4F36-B87D-633606F9396C}"/>
    <cellStyle name="Normal 4 2 2 2 3 3 2 5" xfId="2913" xr:uid="{3BB63F74-334B-4928-BC55-A4A8654E1C88}"/>
    <cellStyle name="Normal 4 2 2 2 3 3 3" xfId="2914" xr:uid="{8A406EA7-ADF2-4F1A-AB11-B117A872C691}"/>
    <cellStyle name="Normal 4 2 2 2 3 3 3 2" xfId="2915" xr:uid="{014FAC10-B8CF-4691-8CFC-270AFAD51EA5}"/>
    <cellStyle name="Normal 4 2 2 2 3 3 3 2 2" xfId="2916" xr:uid="{3F5A24ED-71BD-4B58-9F58-C5EA72B19FB7}"/>
    <cellStyle name="Normal 4 2 2 2 3 3 3 2 3" xfId="2917" xr:uid="{F3D3EC8F-348D-4840-9315-29259C8B5C3C}"/>
    <cellStyle name="Normal 4 2 2 2 3 3 3 3" xfId="2918" xr:uid="{077FCD59-CC58-4E13-99D8-E49D78EF4A2B}"/>
    <cellStyle name="Normal 4 2 2 2 3 3 3 4" xfId="2919" xr:uid="{B4E73083-A353-46FE-BBEB-3C215880A71C}"/>
    <cellStyle name="Normal 4 2 2 2 3 3 3 5" xfId="2920" xr:uid="{E358D2DF-D6AA-4F8A-8D67-691C6716B6A7}"/>
    <cellStyle name="Normal 4 2 2 2 3 3 4" xfId="2921" xr:uid="{EB53548C-1FFE-4EF0-A4A9-9A2AD263711E}"/>
    <cellStyle name="Normal 4 2 2 2 3 3 4 2" xfId="2922" xr:uid="{6E79754E-8736-4BAB-A319-94754F45F2BD}"/>
    <cellStyle name="Normal 4 2 2 2 3 3 4 3" xfId="2923" xr:uid="{5A801F31-7E49-411E-BEFF-C1238967526A}"/>
    <cellStyle name="Normal 4 2 2 2 3 3 5" xfId="2924" xr:uid="{8F474BFF-7BB6-4881-BE95-61458863D834}"/>
    <cellStyle name="Normal 4 2 2 2 3 3 6" xfId="2925" xr:uid="{8B2A64C6-4777-436E-99DB-860CBF8C2C2D}"/>
    <cellStyle name="Normal 4 2 2 2 3 3 7" xfId="2926" xr:uid="{45C36DE5-C3BE-4AA8-ADDC-855B549A7419}"/>
    <cellStyle name="Normal 4 2 2 2 3 4" xfId="2927" xr:uid="{E665F64D-05F3-4EC5-A000-833F420F5B73}"/>
    <cellStyle name="Normal 4 2 2 2 3 4 2" xfId="2928" xr:uid="{9941AD2E-F5E3-48C2-B87B-4CC2D51565D0}"/>
    <cellStyle name="Normal 4 2 2 2 3 4 2 2" xfId="2929" xr:uid="{49A88456-4847-45F5-914E-6AF170A0066E}"/>
    <cellStyle name="Normal 4 2 2 2 3 4 2 3" xfId="2930" xr:uid="{02DC856E-03EB-4840-AFDB-A22F84E41BC5}"/>
    <cellStyle name="Normal 4 2 2 2 3 4 3" xfId="2931" xr:uid="{F5747AE6-E070-4A4F-8238-D000B39937D1}"/>
    <cellStyle name="Normal 4 2 2 2 3 4 4" xfId="2932" xr:uid="{7233A0A9-AB3F-4045-854F-4F9DA8B9ECE4}"/>
    <cellStyle name="Normal 4 2 2 2 3 4 5" xfId="2933" xr:uid="{EED67A39-218E-431F-A421-3128712588EE}"/>
    <cellStyle name="Normal 4 2 2 2 3 5" xfId="2934" xr:uid="{1E586D7E-8432-4A99-BE21-7138D9A09BCD}"/>
    <cellStyle name="Normal 4 2 2 2 3 5 2" xfId="2935" xr:uid="{484E343F-4B65-427A-90D8-9879FE24FF08}"/>
    <cellStyle name="Normal 4 2 2 2 3 5 2 2" xfId="2936" xr:uid="{A605B370-24C5-4FD1-86D1-DE2AA5013CE2}"/>
    <cellStyle name="Normal 4 2 2 2 3 5 2 3" xfId="2937" xr:uid="{634930BA-EA30-47CD-8A08-1EB634819699}"/>
    <cellStyle name="Normal 4 2 2 2 3 5 3" xfId="2938" xr:uid="{80A4875D-CA97-4E4F-98D4-373641C0F18D}"/>
    <cellStyle name="Normal 4 2 2 2 3 5 4" xfId="2939" xr:uid="{E3276571-3693-408B-AB42-BD40973B399B}"/>
    <cellStyle name="Normal 4 2 2 2 3 5 5" xfId="2940" xr:uid="{C4127753-F79C-49BF-A978-2EEC4FB9394F}"/>
    <cellStyle name="Normal 4 2 2 2 3 6" xfId="2941" xr:uid="{833967A9-A434-4C76-8AC5-768E30FCB9C5}"/>
    <cellStyle name="Normal 4 2 2 2 3 6 2" xfId="2942" xr:uid="{524FDABB-3F75-44BE-BE16-33247A089C52}"/>
    <cellStyle name="Normal 4 2 2 2 3 6 3" xfId="2943" xr:uid="{27EFB46B-5637-4E27-9BA6-49BE634ED628}"/>
    <cellStyle name="Normal 4 2 2 2 3 7" xfId="2944" xr:uid="{3D03810B-57C6-4D98-872A-64C493B6002D}"/>
    <cellStyle name="Normal 4 2 2 2 3 8" xfId="2945" xr:uid="{BAD8BD0F-1581-4C73-8BF2-1467FC391CFB}"/>
    <cellStyle name="Normal 4 2 2 2 3 9" xfId="2946" xr:uid="{AE597139-4492-417F-B352-83EE246F7FA0}"/>
    <cellStyle name="Normal 4 2 2 2 4" xfId="2947" xr:uid="{1BB45FD1-4D91-4F65-9D8D-C1E0F059D754}"/>
    <cellStyle name="Normal 4 2 2 2 4 2" xfId="2948" xr:uid="{96FEC71D-D350-4432-AFC5-5FE0B661B93C}"/>
    <cellStyle name="Normal 4 2 2 2 4 2 2" xfId="2949" xr:uid="{D497FF15-AF72-40E1-B5F1-D3D56313A62B}"/>
    <cellStyle name="Normal 4 2 2 2 4 2 2 2" xfId="2950" xr:uid="{BF126196-D154-4ECC-AF80-68584C92A8A0}"/>
    <cellStyle name="Normal 4 2 2 2 4 2 2 2 2" xfId="2951" xr:uid="{6CC5E868-F6EB-4033-9AEB-4A388B121038}"/>
    <cellStyle name="Normal 4 2 2 2 4 2 2 2 2 2" xfId="2952" xr:uid="{2074BE0A-5795-45FA-A375-42A7885BA6E1}"/>
    <cellStyle name="Normal 4 2 2 2 4 2 2 2 2 3" xfId="2953" xr:uid="{633AFFC8-6A24-4E87-8052-B9A322A4EE47}"/>
    <cellStyle name="Normal 4 2 2 2 4 2 2 2 3" xfId="2954" xr:uid="{B4DA22FE-FE6A-4590-BDF4-9E58B07FBDC8}"/>
    <cellStyle name="Normal 4 2 2 2 4 2 2 2 4" xfId="2955" xr:uid="{6DD05CC2-F3DC-4A9F-8FD8-2E109A239CD7}"/>
    <cellStyle name="Normal 4 2 2 2 4 2 2 2 5" xfId="2956" xr:uid="{FA1669E0-8431-4325-A70D-C6E48F6057F7}"/>
    <cellStyle name="Normal 4 2 2 2 4 2 2 3" xfId="2957" xr:uid="{CDDC61C0-2DDC-488F-858B-822ADD394D5C}"/>
    <cellStyle name="Normal 4 2 2 2 4 2 2 3 2" xfId="2958" xr:uid="{AFE36096-6F7E-4C93-A45F-C018DC22E935}"/>
    <cellStyle name="Normal 4 2 2 2 4 2 2 3 2 2" xfId="2959" xr:uid="{368C12D4-8C64-4C30-8F89-30F43C44EE83}"/>
    <cellStyle name="Normal 4 2 2 2 4 2 2 3 2 3" xfId="2960" xr:uid="{A40C0B03-D411-408E-A333-5BE4E0F98F1D}"/>
    <cellStyle name="Normal 4 2 2 2 4 2 2 3 3" xfId="2961" xr:uid="{98400FCA-A32D-4426-9B96-8BF882F15FF2}"/>
    <cellStyle name="Normal 4 2 2 2 4 2 2 3 4" xfId="2962" xr:uid="{3A5DA7BE-2EF8-49B7-B00E-622F889338AC}"/>
    <cellStyle name="Normal 4 2 2 2 4 2 2 3 5" xfId="2963" xr:uid="{F9EB08FB-D908-45CE-8927-DE9A559E5FDB}"/>
    <cellStyle name="Normal 4 2 2 2 4 2 2 4" xfId="2964" xr:uid="{6ED475D6-5D55-4455-BE01-72DF70C91E74}"/>
    <cellStyle name="Normal 4 2 2 2 4 2 2 4 2" xfId="2965" xr:uid="{6E84C298-9397-4319-8CBC-8CC06C61FB82}"/>
    <cellStyle name="Normal 4 2 2 2 4 2 2 4 3" xfId="2966" xr:uid="{B6B23657-5B18-407E-BD03-BF2E88951247}"/>
    <cellStyle name="Normal 4 2 2 2 4 2 2 5" xfId="2967" xr:uid="{FBE7CAC2-9FE1-4E8A-866C-EDDD9462AF87}"/>
    <cellStyle name="Normal 4 2 2 2 4 2 2 6" xfId="2968" xr:uid="{3FDD0AC1-A2C5-4C58-A5B2-97524FBA9D3E}"/>
    <cellStyle name="Normal 4 2 2 2 4 2 2 7" xfId="2969" xr:uid="{D11E6BB4-AA82-4EEB-AAD8-2F27E32A6B59}"/>
    <cellStyle name="Normal 4 2 2 2 4 2 3" xfId="2970" xr:uid="{DAB1DC9C-3C93-4708-87D5-D2326A12B29E}"/>
    <cellStyle name="Normal 4 2 2 2 4 2 3 2" xfId="2971" xr:uid="{E5A3C106-E265-4DC9-902D-A4F755BC5BD9}"/>
    <cellStyle name="Normal 4 2 2 2 4 2 3 2 2" xfId="2972" xr:uid="{6BBC2283-5C5C-4B57-9DCE-D06035353CA6}"/>
    <cellStyle name="Normal 4 2 2 2 4 2 3 2 3" xfId="2973" xr:uid="{D2FE6FF5-CC38-41A0-A077-4AFA3FA61516}"/>
    <cellStyle name="Normal 4 2 2 2 4 2 3 3" xfId="2974" xr:uid="{E06F9FD5-C596-42D8-AA5D-D7360D5C266C}"/>
    <cellStyle name="Normal 4 2 2 2 4 2 3 4" xfId="2975" xr:uid="{4CD67546-1164-4061-A588-058D5116C904}"/>
    <cellStyle name="Normal 4 2 2 2 4 2 3 5" xfId="2976" xr:uid="{8F9F2FB5-DF5C-4E20-A72B-4A106749CB08}"/>
    <cellStyle name="Normal 4 2 2 2 4 2 4" xfId="2977" xr:uid="{DD9931EA-CE52-4E90-88B6-F58E5F8806AB}"/>
    <cellStyle name="Normal 4 2 2 2 4 2 4 2" xfId="2978" xr:uid="{125FD762-453B-44F7-AF2D-9713C38AA0FE}"/>
    <cellStyle name="Normal 4 2 2 2 4 2 4 2 2" xfId="2979" xr:uid="{27BBF651-8709-4DF9-BE2C-00A6C1D53C14}"/>
    <cellStyle name="Normal 4 2 2 2 4 2 4 2 3" xfId="2980" xr:uid="{7398710E-E483-4B4F-8562-063C7CECD8AC}"/>
    <cellStyle name="Normal 4 2 2 2 4 2 4 3" xfId="2981" xr:uid="{10BCAC1F-BF67-4398-85C9-FE35C456B0D8}"/>
    <cellStyle name="Normal 4 2 2 2 4 2 4 4" xfId="2982" xr:uid="{FFE4E978-1704-42E0-9BA2-AB0067542344}"/>
    <cellStyle name="Normal 4 2 2 2 4 2 4 5" xfId="2983" xr:uid="{9B2A9949-3882-43C1-BDF8-96BAFC00D85A}"/>
    <cellStyle name="Normal 4 2 2 2 4 2 5" xfId="2984" xr:uid="{E97D585D-A3EE-440A-A032-24822D97B8AA}"/>
    <cellStyle name="Normal 4 2 2 2 4 2 5 2" xfId="2985" xr:uid="{CECBF8C1-FAC2-41F1-A6CE-0DC02B9CEF49}"/>
    <cellStyle name="Normal 4 2 2 2 4 2 5 3" xfId="2986" xr:uid="{43E9B3A3-48E9-4CCB-8437-08CD0ED8E2A5}"/>
    <cellStyle name="Normal 4 2 2 2 4 2 6" xfId="2987" xr:uid="{ACCE28A5-3FA2-4357-BCC6-3E85F398C66F}"/>
    <cellStyle name="Normal 4 2 2 2 4 2 7" xfId="2988" xr:uid="{2085876F-B612-4B04-BF70-11CB51D1093C}"/>
    <cellStyle name="Normal 4 2 2 2 4 2 8" xfId="2989" xr:uid="{34145C4D-6C21-4919-9167-ABF88236EADA}"/>
    <cellStyle name="Normal 4 2 2 2 4 3" xfId="2990" xr:uid="{22647CD5-22C2-4998-992C-C1C3CCEE46F8}"/>
    <cellStyle name="Normal 4 2 2 2 4 3 2" xfId="2991" xr:uid="{C4C0C101-E4E5-4A64-A82B-6356EE0891C8}"/>
    <cellStyle name="Normal 4 2 2 2 4 3 2 2" xfId="2992" xr:uid="{D66A3315-46B9-4204-B30E-2EB51F259117}"/>
    <cellStyle name="Normal 4 2 2 2 4 3 2 2 2" xfId="2993" xr:uid="{02472678-9C8C-4C18-8D84-9EC18AE926C8}"/>
    <cellStyle name="Normal 4 2 2 2 4 3 2 2 3" xfId="2994" xr:uid="{579986D9-FA8D-4791-9C12-A3463083DDE8}"/>
    <cellStyle name="Normal 4 2 2 2 4 3 2 3" xfId="2995" xr:uid="{C0181183-59BD-4BFA-8F57-087E99B9EAC2}"/>
    <cellStyle name="Normal 4 2 2 2 4 3 2 4" xfId="2996" xr:uid="{90E9E550-AB73-43FB-B4FA-958CD0748359}"/>
    <cellStyle name="Normal 4 2 2 2 4 3 2 5" xfId="2997" xr:uid="{852628D2-BA2B-42B8-B141-BA8735AC7F0D}"/>
    <cellStyle name="Normal 4 2 2 2 4 3 3" xfId="2998" xr:uid="{1D3A5B88-9B32-4CE5-AD17-1ADEC3BC36DC}"/>
    <cellStyle name="Normal 4 2 2 2 4 3 3 2" xfId="2999" xr:uid="{8DC75FC5-72EF-4FB3-A337-C3F02C80A223}"/>
    <cellStyle name="Normal 4 2 2 2 4 3 3 2 2" xfId="3000" xr:uid="{E30B701A-A831-41BB-A08F-4B34C9BE1EBA}"/>
    <cellStyle name="Normal 4 2 2 2 4 3 3 2 3" xfId="3001" xr:uid="{F91CDED7-5D6C-4E93-9DD0-E9FF2B7C4465}"/>
    <cellStyle name="Normal 4 2 2 2 4 3 3 3" xfId="3002" xr:uid="{C0CE44A4-79F1-4F47-B804-3783BC082B62}"/>
    <cellStyle name="Normal 4 2 2 2 4 3 3 4" xfId="3003" xr:uid="{F969FE95-65D6-49F6-9304-F3A99FD99879}"/>
    <cellStyle name="Normal 4 2 2 2 4 3 3 5" xfId="3004" xr:uid="{8D26A5F5-4084-471F-A28F-7DC1CF0C8B93}"/>
    <cellStyle name="Normal 4 2 2 2 4 3 4" xfId="3005" xr:uid="{75FF1E84-A7F9-4AEF-9010-51AF31F4574F}"/>
    <cellStyle name="Normal 4 2 2 2 4 3 4 2" xfId="3006" xr:uid="{1704D827-DECE-4523-B59C-6F982B28BEE3}"/>
    <cellStyle name="Normal 4 2 2 2 4 3 4 3" xfId="3007" xr:uid="{72570379-1CDB-4B4D-A4F0-A2A4D5F62216}"/>
    <cellStyle name="Normal 4 2 2 2 4 3 5" xfId="3008" xr:uid="{EC158661-BDB4-4F73-A4D7-21AFB01E72AF}"/>
    <cellStyle name="Normal 4 2 2 2 4 3 6" xfId="3009" xr:uid="{02CF7FA9-5D5D-4EDD-8B1C-B3624E2BB7C9}"/>
    <cellStyle name="Normal 4 2 2 2 4 3 7" xfId="3010" xr:uid="{10B56016-A390-4051-B0FD-1CCAC334949E}"/>
    <cellStyle name="Normal 4 2 2 2 4 4" xfId="3011" xr:uid="{AC728D3A-F989-4A09-9E8B-F5AF9F30DB10}"/>
    <cellStyle name="Normal 4 2 2 2 4 4 2" xfId="3012" xr:uid="{8ADCB50E-FDDF-47CB-81B1-A0F48EAE431E}"/>
    <cellStyle name="Normal 4 2 2 2 4 4 2 2" xfId="3013" xr:uid="{D03BC19A-7CFF-4AC7-9A70-EE5EE117F1CB}"/>
    <cellStyle name="Normal 4 2 2 2 4 4 2 3" xfId="3014" xr:uid="{D56F0EB1-7EAB-415B-A2B0-12AFA5DAF990}"/>
    <cellStyle name="Normal 4 2 2 2 4 4 3" xfId="3015" xr:uid="{523CA946-51AA-41A8-867B-8CF32F936C3A}"/>
    <cellStyle name="Normal 4 2 2 2 4 4 4" xfId="3016" xr:uid="{E8ABDBD9-AD7A-4138-AE82-FD4D4E969292}"/>
    <cellStyle name="Normal 4 2 2 2 4 4 5" xfId="3017" xr:uid="{38991BD8-FCDE-46DA-996D-1723D06A0C19}"/>
    <cellStyle name="Normal 4 2 2 2 4 5" xfId="3018" xr:uid="{0220D69C-32F6-48A0-9B5E-FC330A170E38}"/>
    <cellStyle name="Normal 4 2 2 2 4 5 2" xfId="3019" xr:uid="{6D1F5E76-128D-4579-8A45-EC563239059A}"/>
    <cellStyle name="Normal 4 2 2 2 4 5 2 2" xfId="3020" xr:uid="{30A720D0-126B-4D31-B671-802BD5E634E1}"/>
    <cellStyle name="Normal 4 2 2 2 4 5 2 3" xfId="3021" xr:uid="{BDA73B90-62C5-4212-B6FE-18587A304441}"/>
    <cellStyle name="Normal 4 2 2 2 4 5 3" xfId="3022" xr:uid="{3349FC1F-59F2-4547-9C9F-98540809A656}"/>
    <cellStyle name="Normal 4 2 2 2 4 5 4" xfId="3023" xr:uid="{DEDCB729-8DA4-4073-95EA-7C44473E5B87}"/>
    <cellStyle name="Normal 4 2 2 2 4 5 5" xfId="3024" xr:uid="{4BF0BC51-3EE4-42BC-8D54-7E0397347C03}"/>
    <cellStyle name="Normal 4 2 2 2 4 6" xfId="3025" xr:uid="{B8EC1A05-5059-44C2-97EB-4C75B72AF740}"/>
    <cellStyle name="Normal 4 2 2 2 4 6 2" xfId="3026" xr:uid="{1664C4BC-CD12-414B-B8C7-89D233606D2B}"/>
    <cellStyle name="Normal 4 2 2 2 4 6 3" xfId="3027" xr:uid="{3BEE27BC-7CDD-45AF-AD2F-FBF4E538A5F9}"/>
    <cellStyle name="Normal 4 2 2 2 4 7" xfId="3028" xr:uid="{DC1F8DEF-E127-49BA-939A-B09CBBB92075}"/>
    <cellStyle name="Normal 4 2 2 2 4 8" xfId="3029" xr:uid="{8CAAF797-A774-413F-820E-572184DB903E}"/>
    <cellStyle name="Normal 4 2 2 2 4 9" xfId="3030" xr:uid="{2C54FFFE-B02E-4AC5-BA54-5BF84CBFAC0E}"/>
    <cellStyle name="Normal 4 2 2 2 5" xfId="3031" xr:uid="{F9677671-2360-47AD-AEED-D93D2FBC19C8}"/>
    <cellStyle name="Normal 4 2 2 2 5 2" xfId="3032" xr:uid="{3C2D88BB-F013-415C-81A6-B16A58CC9723}"/>
    <cellStyle name="Normal 4 2 2 2 5 2 2" xfId="3033" xr:uid="{A845A66F-5278-4F7A-9A76-30816B6D1D67}"/>
    <cellStyle name="Normal 4 2 2 2 5 2 2 2" xfId="3034" xr:uid="{E86F9C31-0E99-403A-8B62-CA2515AAB65A}"/>
    <cellStyle name="Normal 4 2 2 2 5 2 2 2 2" xfId="3035" xr:uid="{9C9A23D4-52D4-4532-B6F6-3678D63A444A}"/>
    <cellStyle name="Normal 4 2 2 2 5 2 2 2 3" xfId="3036" xr:uid="{BBD7DB1F-A19F-48E3-9508-368A4E48D40F}"/>
    <cellStyle name="Normal 4 2 2 2 5 2 2 3" xfId="3037" xr:uid="{CDE6E225-1322-496A-9513-D0417D08B55C}"/>
    <cellStyle name="Normal 4 2 2 2 5 2 2 4" xfId="3038" xr:uid="{D1B11D4D-68DA-4C86-9511-14F84C4C4CFB}"/>
    <cellStyle name="Normal 4 2 2 2 5 2 2 5" xfId="3039" xr:uid="{E5F4E502-1D2B-432D-A01C-054110757D2D}"/>
    <cellStyle name="Normal 4 2 2 2 5 2 3" xfId="3040" xr:uid="{3C1F524B-977B-428F-94B9-17C0D5D5EF2B}"/>
    <cellStyle name="Normal 4 2 2 2 5 2 3 2" xfId="3041" xr:uid="{ADF17EB7-DF1F-4BE7-B1F2-78C977A6168B}"/>
    <cellStyle name="Normal 4 2 2 2 5 2 3 2 2" xfId="3042" xr:uid="{C65A9440-9540-4D2B-9F0D-F3CF81A7753F}"/>
    <cellStyle name="Normal 4 2 2 2 5 2 3 2 3" xfId="3043" xr:uid="{EC425C2C-7F26-49D8-9980-E2D80CEA5512}"/>
    <cellStyle name="Normal 4 2 2 2 5 2 3 3" xfId="3044" xr:uid="{15986C07-1449-4846-BB00-9F6E6A6F8F77}"/>
    <cellStyle name="Normal 4 2 2 2 5 2 3 4" xfId="3045" xr:uid="{EDAF4C9A-24B4-49A8-B3D4-86616E724060}"/>
    <cellStyle name="Normal 4 2 2 2 5 2 3 5" xfId="3046" xr:uid="{B391EF10-F182-413B-AE7E-133E87E35898}"/>
    <cellStyle name="Normal 4 2 2 2 5 2 4" xfId="3047" xr:uid="{DABBDA11-0F97-4B94-816D-3E655851FF6B}"/>
    <cellStyle name="Normal 4 2 2 2 5 2 4 2" xfId="3048" xr:uid="{80AD9045-7D75-4497-81C4-9A59E795EF05}"/>
    <cellStyle name="Normal 4 2 2 2 5 2 4 3" xfId="3049" xr:uid="{01577156-B24D-433A-B6DC-125DC5839325}"/>
    <cellStyle name="Normal 4 2 2 2 5 2 5" xfId="3050" xr:uid="{3B67D7E8-1043-4835-A32A-DA886FAE97FC}"/>
    <cellStyle name="Normal 4 2 2 2 5 2 6" xfId="3051" xr:uid="{130FF1BC-4F14-4058-AEB8-AFF3B31F26E2}"/>
    <cellStyle name="Normal 4 2 2 2 5 2 7" xfId="3052" xr:uid="{3C96D4ED-4AB1-4D93-BEAD-5A81C9ECFD4D}"/>
    <cellStyle name="Normal 4 2 2 2 5 3" xfId="3053" xr:uid="{FB222B0D-5C33-421A-8643-73119CC731F7}"/>
    <cellStyle name="Normal 4 2 2 2 5 3 2" xfId="3054" xr:uid="{5A8F94CC-931C-491E-AD5F-3B997D1AB673}"/>
    <cellStyle name="Normal 4 2 2 2 5 3 2 2" xfId="3055" xr:uid="{AB2C1A9E-BED0-46A0-BA06-1CDEDF0F59AD}"/>
    <cellStyle name="Normal 4 2 2 2 5 3 2 3" xfId="3056" xr:uid="{1B1157BD-D9AD-48E2-892E-20B467F5D559}"/>
    <cellStyle name="Normal 4 2 2 2 5 3 3" xfId="3057" xr:uid="{92AB7935-E7CA-4DA3-9200-EFE9FF0C305C}"/>
    <cellStyle name="Normal 4 2 2 2 5 3 4" xfId="3058" xr:uid="{2548EEBE-7CE8-449B-A0D3-3976A4EC1A48}"/>
    <cellStyle name="Normal 4 2 2 2 5 3 5" xfId="3059" xr:uid="{9F4CFF1B-99F8-4944-9A80-3C00F2029D7E}"/>
    <cellStyle name="Normal 4 2 2 2 5 4" xfId="3060" xr:uid="{133064C7-85E8-42D7-8A40-716FCA699F02}"/>
    <cellStyle name="Normal 4 2 2 2 5 4 2" xfId="3061" xr:uid="{F63FA0A3-8E27-4788-AF24-5B8453C9C9F0}"/>
    <cellStyle name="Normal 4 2 2 2 5 4 2 2" xfId="3062" xr:uid="{E4D08D95-4782-43AF-B45E-55E6A9352719}"/>
    <cellStyle name="Normal 4 2 2 2 5 4 2 3" xfId="3063" xr:uid="{1E28DC8C-0555-4578-B2F6-BD7CD63B3251}"/>
    <cellStyle name="Normal 4 2 2 2 5 4 3" xfId="3064" xr:uid="{60928B2A-DFCF-40D9-B470-7CA66364A48C}"/>
    <cellStyle name="Normal 4 2 2 2 5 4 4" xfId="3065" xr:uid="{5AA7CDC4-F49E-468E-AA97-B3C9FDE9D735}"/>
    <cellStyle name="Normal 4 2 2 2 5 4 5" xfId="3066" xr:uid="{75BF1697-11A2-45FF-804E-8D0982BCAC0C}"/>
    <cellStyle name="Normal 4 2 2 2 5 5" xfId="3067" xr:uid="{FF45906D-C2C7-4249-8593-3A838C7A1C2A}"/>
    <cellStyle name="Normal 4 2 2 2 5 5 2" xfId="3068" xr:uid="{8EF84AE0-CB79-446C-9304-5C4009402FB8}"/>
    <cellStyle name="Normal 4 2 2 2 5 5 3" xfId="3069" xr:uid="{F89BB8FD-5DA2-4BB6-BDF9-D55BB4700F19}"/>
    <cellStyle name="Normal 4 2 2 2 5 6" xfId="3070" xr:uid="{D4D73747-9D81-44F8-B670-22FB8BEF341E}"/>
    <cellStyle name="Normal 4 2 2 2 5 7" xfId="3071" xr:uid="{5DD289B5-0761-4911-8F7C-0F272D619AB7}"/>
    <cellStyle name="Normal 4 2 2 2 5 8" xfId="3072" xr:uid="{3F50FD78-3BF9-4483-A121-69EABBC8C60A}"/>
    <cellStyle name="Normal 4 2 2 2 6" xfId="3073" xr:uid="{1377DA64-61C9-4570-A685-8E95FCA0AFCB}"/>
    <cellStyle name="Normal 4 2 2 2 6 2" xfId="3074" xr:uid="{EA77DF39-1E7F-4462-9EFE-A060FE98F021}"/>
    <cellStyle name="Normal 4 2 2 2 6 2 2" xfId="3075" xr:uid="{C2725FE4-9FFC-437A-9464-F43C9768048D}"/>
    <cellStyle name="Normal 4 2 2 2 6 2 2 2" xfId="3076" xr:uid="{D8426E43-793E-4EF8-B7BE-B76CB894DA2B}"/>
    <cellStyle name="Normal 4 2 2 2 6 2 2 3" xfId="3077" xr:uid="{CDE46F93-7C62-4DB2-A335-FC3426386130}"/>
    <cellStyle name="Normal 4 2 2 2 6 2 3" xfId="3078" xr:uid="{3723F53C-239F-4380-A8AF-415494F47FD5}"/>
    <cellStyle name="Normal 4 2 2 2 6 2 4" xfId="3079" xr:uid="{9411E443-6516-4900-B951-3A38B8C1D8B4}"/>
    <cellStyle name="Normal 4 2 2 2 6 2 5" xfId="3080" xr:uid="{A655E7B8-8B1B-493B-9080-E7FED68D2794}"/>
    <cellStyle name="Normal 4 2 2 2 6 3" xfId="3081" xr:uid="{89761482-97AB-4E1F-A99C-2591629F9E8A}"/>
    <cellStyle name="Normal 4 2 2 2 6 3 2" xfId="3082" xr:uid="{3A2C6C0A-AD8C-4F53-A919-1616447D0F97}"/>
    <cellStyle name="Normal 4 2 2 2 6 3 2 2" xfId="3083" xr:uid="{CA032A01-CD70-4C0C-A635-EC9F815D65CE}"/>
    <cellStyle name="Normal 4 2 2 2 6 3 2 3" xfId="3084" xr:uid="{DB7926AA-34DF-4C2B-9471-2D942D3D797D}"/>
    <cellStyle name="Normal 4 2 2 2 6 3 3" xfId="3085" xr:uid="{BACD53EA-3964-4A2F-8C1A-A5F8DD4FB697}"/>
    <cellStyle name="Normal 4 2 2 2 6 3 4" xfId="3086" xr:uid="{8283F14A-F50F-415B-8F9F-AD4B05BE135E}"/>
    <cellStyle name="Normal 4 2 2 2 6 3 5" xfId="3087" xr:uid="{C76F9F05-F934-410E-82C6-02CB4D496388}"/>
    <cellStyle name="Normal 4 2 2 2 6 4" xfId="3088" xr:uid="{827FB6E8-967E-4936-B1E2-1B3179AD4D7E}"/>
    <cellStyle name="Normal 4 2 2 2 6 4 2" xfId="3089" xr:uid="{305D50FF-3387-4C6F-8545-BB5F0A779C2A}"/>
    <cellStyle name="Normal 4 2 2 2 6 4 3" xfId="3090" xr:uid="{F556AA97-BC4F-4DF6-B257-F8EE10A2CC8F}"/>
    <cellStyle name="Normal 4 2 2 2 6 5" xfId="3091" xr:uid="{136EAE84-6656-472C-B17F-C89E9B78D806}"/>
    <cellStyle name="Normal 4 2 2 2 6 6" xfId="3092" xr:uid="{9AD1542A-3342-404C-837D-4F0A4CF06654}"/>
    <cellStyle name="Normal 4 2 2 2 6 7" xfId="3093" xr:uid="{9B705529-8C4D-4656-92F2-B787DDCCA3FB}"/>
    <cellStyle name="Normal 4 2 2 2 7" xfId="3094" xr:uid="{2CC36CB7-32D7-4CEB-A585-4A06A50FE0F9}"/>
    <cellStyle name="Normal 4 2 2 2 7 2" xfId="3095" xr:uid="{B8EEB74A-1F04-46D4-A6D0-A27D8798E380}"/>
    <cellStyle name="Normal 4 2 2 2 7 2 2" xfId="3096" xr:uid="{7294F826-7F53-4A6D-B896-793D149DA3D9}"/>
    <cellStyle name="Normal 4 2 2 2 7 2 2 2" xfId="3097" xr:uid="{3888FF99-D68A-413C-AEB9-1D6C91E3BC00}"/>
    <cellStyle name="Normal 4 2 2 2 7 2 2 3" xfId="3098" xr:uid="{708B3B7E-20ED-4ACD-BBBB-97A11219496D}"/>
    <cellStyle name="Normal 4 2 2 2 7 2 3" xfId="3099" xr:uid="{6AE607FD-81B2-4EC1-A328-4D59CB7E7CB3}"/>
    <cellStyle name="Normal 4 2 2 2 7 2 4" xfId="3100" xr:uid="{01B0D255-1354-44ED-876C-D4B1EB4B0BE5}"/>
    <cellStyle name="Normal 4 2 2 2 7 2 5" xfId="3101" xr:uid="{A7A1BA7D-8380-423D-AAC6-F1A635180AF9}"/>
    <cellStyle name="Normal 4 2 2 2 7 3" xfId="3102" xr:uid="{DB7D4F0E-5209-4761-B5EC-118877400475}"/>
    <cellStyle name="Normal 4 2 2 2 7 3 2" xfId="3103" xr:uid="{66A2E122-3B03-4649-B419-1CBBE2391522}"/>
    <cellStyle name="Normal 4 2 2 2 7 3 2 2" xfId="3104" xr:uid="{E932D36F-6E5A-4338-8652-32FA25F28E43}"/>
    <cellStyle name="Normal 4 2 2 2 7 3 2 3" xfId="3105" xr:uid="{6DD467D5-E8AD-427D-9BA6-6682B104539A}"/>
    <cellStyle name="Normal 4 2 2 2 7 3 3" xfId="3106" xr:uid="{C015831C-5A74-404F-A6E7-1416F410673D}"/>
    <cellStyle name="Normal 4 2 2 2 7 3 4" xfId="3107" xr:uid="{D3A5D543-9D3A-474D-85AF-E09C7DBAB493}"/>
    <cellStyle name="Normal 4 2 2 2 7 3 5" xfId="3108" xr:uid="{F6390890-7CAF-4E0F-A9FD-195672D72D26}"/>
    <cellStyle name="Normal 4 2 2 2 7 4" xfId="3109" xr:uid="{1103274A-2F93-4DB7-AC2C-DA95F261883B}"/>
    <cellStyle name="Normal 4 2 2 2 7 4 2" xfId="3110" xr:uid="{780A0D3C-F1BD-4066-8DD2-C316CCC28BD5}"/>
    <cellStyle name="Normal 4 2 2 2 7 4 3" xfId="3111" xr:uid="{DBD632EA-D5FC-471B-808B-560C6BF01E94}"/>
    <cellStyle name="Normal 4 2 2 2 7 5" xfId="3112" xr:uid="{115E3DBC-720A-45C7-B097-04162982F891}"/>
    <cellStyle name="Normal 4 2 2 2 7 6" xfId="3113" xr:uid="{95DC65FE-F1B7-415C-92FD-AD1ED2A20DCB}"/>
    <cellStyle name="Normal 4 2 2 2 7 7" xfId="3114" xr:uid="{0983001D-4661-41B6-BD84-8F0C82C808A0}"/>
    <cellStyle name="Normal 4 2 2 2 8" xfId="3115" xr:uid="{4422B07B-C89E-47C9-98B2-847F32A0857C}"/>
    <cellStyle name="Normal 4 2 2 2 8 2" xfId="3116" xr:uid="{7586EF79-2A00-462D-ADB4-46F8F3FBA564}"/>
    <cellStyle name="Normal 4 2 2 2 8 2 2" xfId="3117" xr:uid="{7F5C26F7-CA73-4263-ABEC-F2714F1CD5D3}"/>
    <cellStyle name="Normal 4 2 2 2 8 2 3" xfId="3118" xr:uid="{E22CC9CA-403C-47F3-A3E9-A92021D3590B}"/>
    <cellStyle name="Normal 4 2 2 2 8 3" xfId="3119" xr:uid="{395AD64B-A85A-42A1-B0A5-601164136B9B}"/>
    <cellStyle name="Normal 4 2 2 2 8 4" xfId="3120" xr:uid="{76358A0B-92F2-4771-AA79-DB0790805C33}"/>
    <cellStyle name="Normal 4 2 2 2 8 5" xfId="3121" xr:uid="{9CB77E54-5C63-4F03-84A5-66EB1E417FD1}"/>
    <cellStyle name="Normal 4 2 2 2 9" xfId="3122" xr:uid="{744816C9-2539-4F6E-8760-3B0CA2824929}"/>
    <cellStyle name="Normal 4 2 2 2 9 2" xfId="3123" xr:uid="{222789DB-7F35-4F40-976A-9DB07369B505}"/>
    <cellStyle name="Normal 4 2 2 2 9 2 2" xfId="3124" xr:uid="{ABC587B2-BD65-46B6-BEF4-8F9EF1F7F2D6}"/>
    <cellStyle name="Normal 4 2 2 2 9 2 3" xfId="3125" xr:uid="{AA2CD2ED-4336-45D4-897B-0F4EF247EA07}"/>
    <cellStyle name="Normal 4 2 2 2 9 3" xfId="3126" xr:uid="{F44321E0-E56B-456B-ACEE-B8039B473CAD}"/>
    <cellStyle name="Normal 4 2 2 2 9 4" xfId="3127" xr:uid="{1A4986D7-A499-4750-8EFC-D95F6E00D146}"/>
    <cellStyle name="Normal 4 2 2 2 9 5" xfId="3128" xr:uid="{9EA1BD22-9D33-4C41-B187-D2F52D9FF888}"/>
    <cellStyle name="Normal 4 2 2 3" xfId="3129" xr:uid="{F6E30165-61B5-4DB8-9152-2DC46990D54F}"/>
    <cellStyle name="Normal 4 2 2 3 2" xfId="3130" xr:uid="{7D3A2956-5B2A-4CE8-B5D8-423B570DC29E}"/>
    <cellStyle name="Normal 4 2 2 3 2 2" xfId="3131" xr:uid="{9D4517C4-24C0-4924-9874-00EDB7A55C5B}"/>
    <cellStyle name="Normal 4 2 2 3 2 2 2" xfId="3132" xr:uid="{3D2912FA-4DE1-4E8B-BE68-098090B27B38}"/>
    <cellStyle name="Normal 4 2 2 3 2 2 2 2" xfId="3133" xr:uid="{31555E0A-555C-4D85-A3B8-6FE2FC9995DE}"/>
    <cellStyle name="Normal 4 2 2 3 2 2 2 2 2" xfId="3134" xr:uid="{ED80AC40-F7A2-49CA-A61F-2F61EC3900F2}"/>
    <cellStyle name="Normal 4 2 2 3 2 2 2 2 3" xfId="3135" xr:uid="{22D5E5AA-9E9B-4225-9C65-9DBD63F03BC3}"/>
    <cellStyle name="Normal 4 2 2 3 2 2 2 3" xfId="3136" xr:uid="{9259A25E-F1FD-43B8-8BA0-1520965C1F8C}"/>
    <cellStyle name="Normal 4 2 2 3 2 2 2 4" xfId="3137" xr:uid="{21C0D946-2E97-4651-9A30-FD545744CEC0}"/>
    <cellStyle name="Normal 4 2 2 3 2 2 2 5" xfId="3138" xr:uid="{B5F9F86A-1B1E-48AE-A367-8F43C4AE8BB0}"/>
    <cellStyle name="Normal 4 2 2 3 2 2 3" xfId="3139" xr:uid="{6840E5D7-2B9A-4FA7-A14B-BBE0551AA40F}"/>
    <cellStyle name="Normal 4 2 2 3 2 2 3 2" xfId="3140" xr:uid="{4B55E911-7C60-4A54-BE65-C2511CBFDD48}"/>
    <cellStyle name="Normal 4 2 2 3 2 2 3 2 2" xfId="3141" xr:uid="{04F75B55-A15C-40DD-9EE3-C177DD67E942}"/>
    <cellStyle name="Normal 4 2 2 3 2 2 3 2 3" xfId="3142" xr:uid="{A4D8C186-492A-4AF1-B9FC-2C71F349703D}"/>
    <cellStyle name="Normal 4 2 2 3 2 2 3 3" xfId="3143" xr:uid="{FE231A53-740A-4469-AB26-ED8BFF9F3A59}"/>
    <cellStyle name="Normal 4 2 2 3 2 2 3 4" xfId="3144" xr:uid="{2B874B8A-423A-4854-BEA2-E5DC6E45587F}"/>
    <cellStyle name="Normal 4 2 2 3 2 2 3 5" xfId="3145" xr:uid="{4A98CD21-05F1-4594-A23D-26BEED38E518}"/>
    <cellStyle name="Normal 4 2 2 3 2 2 4" xfId="3146" xr:uid="{B2F82972-C658-47C4-9A41-8EEA3FF75FD6}"/>
    <cellStyle name="Normal 4 2 2 3 2 2 4 2" xfId="3147" xr:uid="{303F0EAB-4EF9-4536-86FC-2159D0F799F8}"/>
    <cellStyle name="Normal 4 2 2 3 2 2 4 3" xfId="3148" xr:uid="{6B0F9418-5848-4152-B665-BE7C631AF9B3}"/>
    <cellStyle name="Normal 4 2 2 3 2 2 5" xfId="3149" xr:uid="{201FE17F-18B6-427B-B88C-6B927357CCF8}"/>
    <cellStyle name="Normal 4 2 2 3 2 2 6" xfId="3150" xr:uid="{F678BC04-856A-469A-9FD9-120699CD6573}"/>
    <cellStyle name="Normal 4 2 2 3 2 2 7" xfId="3151" xr:uid="{9A467471-DDE4-4B2F-B8E0-A350099B7FF4}"/>
    <cellStyle name="Normal 4 2 2 3 2 3" xfId="3152" xr:uid="{F9E85C33-1C27-4FC7-AA7E-AD51510286DF}"/>
    <cellStyle name="Normal 4 2 2 3 2 3 2" xfId="3153" xr:uid="{73E3959A-50CD-462D-98A0-C5129D71347D}"/>
    <cellStyle name="Normal 4 2 2 3 2 3 2 2" xfId="3154" xr:uid="{494E75C2-8621-4408-B48C-E84ADF578BC1}"/>
    <cellStyle name="Normal 4 2 2 3 2 3 2 3" xfId="3155" xr:uid="{41C2BA78-E916-4D03-B34E-119EA7003BFA}"/>
    <cellStyle name="Normal 4 2 2 3 2 3 3" xfId="3156" xr:uid="{4DD16B25-8D18-4B20-B668-300249A57C9E}"/>
    <cellStyle name="Normal 4 2 2 3 2 3 4" xfId="3157" xr:uid="{4CFA81DD-30B7-487E-A50D-7405F7A5376D}"/>
    <cellStyle name="Normal 4 2 2 3 2 3 5" xfId="3158" xr:uid="{E3655DA9-C5CC-47A6-976C-B93A5181209E}"/>
    <cellStyle name="Normal 4 2 2 3 2 4" xfId="3159" xr:uid="{4994AEAD-C415-4BF4-841C-7EE92F2AABC5}"/>
    <cellStyle name="Normal 4 2 2 3 2 4 2" xfId="3160" xr:uid="{332BAA4E-934C-4A02-893A-4DD38AF89618}"/>
    <cellStyle name="Normal 4 2 2 3 2 4 2 2" xfId="3161" xr:uid="{D491DB5C-9844-41EB-82A2-190CE591158A}"/>
    <cellStyle name="Normal 4 2 2 3 2 4 2 3" xfId="3162" xr:uid="{67D01617-0280-49FA-BF06-349914DF9235}"/>
    <cellStyle name="Normal 4 2 2 3 2 4 3" xfId="3163" xr:uid="{45F521EC-F195-4D9C-91B8-88C5F1B318C6}"/>
    <cellStyle name="Normal 4 2 2 3 2 4 4" xfId="3164" xr:uid="{6539260C-B372-4CC9-9E8D-720DECDABF37}"/>
    <cellStyle name="Normal 4 2 2 3 2 4 5" xfId="3165" xr:uid="{C849F6BE-C80D-44CD-A291-895A6A6CCA8A}"/>
    <cellStyle name="Normal 4 2 2 3 2 5" xfId="3166" xr:uid="{36F6CBFA-988C-4488-9A59-61820A96BA48}"/>
    <cellStyle name="Normal 4 2 2 3 2 5 2" xfId="3167" xr:uid="{720754F3-E0C7-4F07-9EA4-576918A7992D}"/>
    <cellStyle name="Normal 4 2 2 3 2 5 3" xfId="3168" xr:uid="{56E24575-4A0D-45FB-BFC1-8A4A0D1A9B7C}"/>
    <cellStyle name="Normal 4 2 2 3 2 6" xfId="3169" xr:uid="{D506CE30-7528-4ACB-B153-850071B6422C}"/>
    <cellStyle name="Normal 4 2 2 3 2 7" xfId="3170" xr:uid="{5AE5122C-C64E-4C38-B584-4FF0CF292392}"/>
    <cellStyle name="Normal 4 2 2 3 2 8" xfId="3171" xr:uid="{19A8B173-A9E8-49F3-B4B6-EE3BFE17945D}"/>
    <cellStyle name="Normal 4 2 2 3 3" xfId="3172" xr:uid="{69AE9E4D-8DA0-4774-951C-88091A25CA64}"/>
    <cellStyle name="Normal 4 2 2 3 3 2" xfId="3173" xr:uid="{4BC4996F-6580-4E5D-8346-93F9A6AD5D10}"/>
    <cellStyle name="Normal 4 2 2 3 3 2 2" xfId="3174" xr:uid="{9DDCB28A-1A3E-44F1-B763-278AFC4BEECD}"/>
    <cellStyle name="Normal 4 2 2 3 3 2 2 2" xfId="3175" xr:uid="{71C80802-E877-4697-BDB0-DC2EC2DA9460}"/>
    <cellStyle name="Normal 4 2 2 3 3 2 2 3" xfId="3176" xr:uid="{8E433706-97B1-451D-A7CC-2068007E5B7F}"/>
    <cellStyle name="Normal 4 2 2 3 3 2 3" xfId="3177" xr:uid="{B630CC69-1ED2-4991-B4BF-0492C65C3C07}"/>
    <cellStyle name="Normal 4 2 2 3 3 2 4" xfId="3178" xr:uid="{A88F22F7-1C36-4F9F-8871-E8C7BC39DC73}"/>
    <cellStyle name="Normal 4 2 2 3 3 2 5" xfId="3179" xr:uid="{C9FFDDC5-50E5-441D-B472-F5C3DE05C3B7}"/>
    <cellStyle name="Normal 4 2 2 3 3 3" xfId="3180" xr:uid="{70AFD487-00EA-4A32-AAEE-AEBE9BE63BB5}"/>
    <cellStyle name="Normal 4 2 2 3 3 3 2" xfId="3181" xr:uid="{AB697A84-1833-4DC5-B088-DF9831B13498}"/>
    <cellStyle name="Normal 4 2 2 3 3 3 2 2" xfId="3182" xr:uid="{839E41EA-C07D-4A9C-AEFE-589B2D62052F}"/>
    <cellStyle name="Normal 4 2 2 3 3 3 2 3" xfId="3183" xr:uid="{156CF28B-0CF8-4DB6-8226-2F9242ED5B14}"/>
    <cellStyle name="Normal 4 2 2 3 3 3 3" xfId="3184" xr:uid="{6091BF03-188F-4566-8591-8EFDD33E9D4C}"/>
    <cellStyle name="Normal 4 2 2 3 3 3 4" xfId="3185" xr:uid="{D35C92B9-D871-4902-A881-0CDCD5565A05}"/>
    <cellStyle name="Normal 4 2 2 3 3 3 5" xfId="3186" xr:uid="{C94E9363-0C2F-4BE7-B11E-68AAFA72B9C1}"/>
    <cellStyle name="Normal 4 2 2 3 3 4" xfId="3187" xr:uid="{F6B7363A-67EC-47DB-9C33-FA13E64233D2}"/>
    <cellStyle name="Normal 4 2 2 3 3 4 2" xfId="3188" xr:uid="{A0F7D261-D0E9-4C03-9358-F3F219416F84}"/>
    <cellStyle name="Normal 4 2 2 3 3 4 3" xfId="3189" xr:uid="{31BA1BDE-10F4-497B-951D-E630C7249D99}"/>
    <cellStyle name="Normal 4 2 2 3 3 5" xfId="3190" xr:uid="{CB0F9944-6DEB-4D36-B705-45D4E3D0C529}"/>
    <cellStyle name="Normal 4 2 2 3 3 6" xfId="3191" xr:uid="{95F53046-07B9-422C-841C-5F072146E6DA}"/>
    <cellStyle name="Normal 4 2 2 3 3 7" xfId="3192" xr:uid="{3053BD2F-EC8D-40BA-A754-E508521A4BFA}"/>
    <cellStyle name="Normal 4 2 2 3 4" xfId="3193" xr:uid="{CF11EB66-9B59-4FB1-A012-3488273D0EA8}"/>
    <cellStyle name="Normal 4 2 2 3 4 2" xfId="3194" xr:uid="{B81BBB25-D55F-41AD-A020-8190D05E5945}"/>
    <cellStyle name="Normal 4 2 2 3 4 2 2" xfId="3195" xr:uid="{FBC3AD17-C145-4BB4-BC6F-98F872F2C8E0}"/>
    <cellStyle name="Normal 4 2 2 3 4 2 3" xfId="3196" xr:uid="{AEAF882B-325E-4553-8975-8DBDE81191EA}"/>
    <cellStyle name="Normal 4 2 2 3 4 3" xfId="3197" xr:uid="{04C3C801-5434-48AE-A64C-4C146C8F2536}"/>
    <cellStyle name="Normal 4 2 2 3 4 4" xfId="3198" xr:uid="{850E792C-2C8B-4649-BA22-A435E89F12DB}"/>
    <cellStyle name="Normal 4 2 2 3 4 5" xfId="3199" xr:uid="{C8B4525B-B4D1-47C4-8B44-1063EB84C44F}"/>
    <cellStyle name="Normal 4 2 2 3 5" xfId="3200" xr:uid="{F6A80326-8189-416F-B3C0-FD95A7F1FC17}"/>
    <cellStyle name="Normal 4 2 2 3 5 2" xfId="3201" xr:uid="{FFB3460B-9BCD-4C68-92AD-2A8E40953890}"/>
    <cellStyle name="Normal 4 2 2 3 5 2 2" xfId="3202" xr:uid="{07DC48A1-CDB6-4EC9-B566-3F92E91F6C97}"/>
    <cellStyle name="Normal 4 2 2 3 5 2 3" xfId="3203" xr:uid="{02EFB072-B880-4C7A-BFC5-8751D510752D}"/>
    <cellStyle name="Normal 4 2 2 3 5 3" xfId="3204" xr:uid="{F871D5B9-263A-4CB5-A600-13AC3DA598D7}"/>
    <cellStyle name="Normal 4 2 2 3 5 4" xfId="3205" xr:uid="{EAF7A205-CF51-45C7-B7C5-3A3DA451F9D2}"/>
    <cellStyle name="Normal 4 2 2 3 5 5" xfId="3206" xr:uid="{A07283BA-FB69-4903-9CBA-7D2A8DAD69D3}"/>
    <cellStyle name="Normal 4 2 2 3 6" xfId="3207" xr:uid="{50E9E464-70FB-4B51-B7CC-FA6F6F7EE2BA}"/>
    <cellStyle name="Normal 4 2 2 3 6 2" xfId="3208" xr:uid="{27ED8C1F-EF77-4027-A1F7-AA0733010B54}"/>
    <cellStyle name="Normal 4 2 2 3 6 3" xfId="3209" xr:uid="{0431EDCE-076A-49D6-98F5-2D4A8493D328}"/>
    <cellStyle name="Normal 4 2 2 3 7" xfId="3210" xr:uid="{252FA78C-FFB1-4263-8EA8-33C5863E535D}"/>
    <cellStyle name="Normal 4 2 2 3 8" xfId="3211" xr:uid="{F4D8D0D1-1D3E-4D99-AC70-D15BEEBDE269}"/>
    <cellStyle name="Normal 4 2 2 3 9" xfId="3212" xr:uid="{F4FFF77E-7A29-4193-BC93-B8408C6A9004}"/>
    <cellStyle name="Normal 4 2 2 4" xfId="3213" xr:uid="{88E0C8B3-1321-49E8-AEAF-51FEF4AD5782}"/>
    <cellStyle name="Normal 4 2 2 4 2" xfId="3214" xr:uid="{D3D826F3-6A84-4838-BF60-0459594CF0D1}"/>
    <cellStyle name="Normal 4 2 2 4 2 2" xfId="3215" xr:uid="{C8727EB0-6190-49E7-9766-6ED9A050FA58}"/>
    <cellStyle name="Normal 4 2 2 4 2 2 2" xfId="3216" xr:uid="{20BB3BDA-A29A-46C3-ADA7-C597A4B31865}"/>
    <cellStyle name="Normal 4 2 2 4 2 2 2 2" xfId="3217" xr:uid="{4D788EEF-1848-4599-8532-DC97AE886BB4}"/>
    <cellStyle name="Normal 4 2 2 4 2 2 2 2 2" xfId="3218" xr:uid="{09035BDB-2AE9-4BA4-B3A1-188D40C24FA6}"/>
    <cellStyle name="Normal 4 2 2 4 2 2 2 2 3" xfId="3219" xr:uid="{91597B41-48B8-481E-86B5-94E9CDE64F00}"/>
    <cellStyle name="Normal 4 2 2 4 2 2 2 3" xfId="3220" xr:uid="{93835852-3603-45CF-A849-EF99A9CFFA87}"/>
    <cellStyle name="Normal 4 2 2 4 2 2 2 4" xfId="3221" xr:uid="{E866AA5A-DCDB-4A90-AE18-29B1ADC54488}"/>
    <cellStyle name="Normal 4 2 2 4 2 2 2 5" xfId="3222" xr:uid="{2B4070F4-7539-453D-B421-EA9B5FC31821}"/>
    <cellStyle name="Normal 4 2 2 4 2 2 3" xfId="3223" xr:uid="{95133958-BA4B-4DEA-BA37-7715C3248C2E}"/>
    <cellStyle name="Normal 4 2 2 4 2 2 3 2" xfId="3224" xr:uid="{C678646A-B75D-44E4-9DC2-47A00B12BA04}"/>
    <cellStyle name="Normal 4 2 2 4 2 2 3 2 2" xfId="3225" xr:uid="{3E9F1867-9922-4BDD-8C68-712653F95DDE}"/>
    <cellStyle name="Normal 4 2 2 4 2 2 3 2 3" xfId="3226" xr:uid="{4639EF7F-DB35-4B84-803E-2E57284017E5}"/>
    <cellStyle name="Normal 4 2 2 4 2 2 3 3" xfId="3227" xr:uid="{42987351-12CA-4436-ADC1-4B6D4FC0CCD3}"/>
    <cellStyle name="Normal 4 2 2 4 2 2 3 4" xfId="3228" xr:uid="{1522F2FB-8524-4CF4-9262-349AC3477DA5}"/>
    <cellStyle name="Normal 4 2 2 4 2 2 3 5" xfId="3229" xr:uid="{12B8E452-C6FE-4B1D-A0CC-3E8BE3D4C7FB}"/>
    <cellStyle name="Normal 4 2 2 4 2 2 4" xfId="3230" xr:uid="{DABECEF1-B6F4-4361-A64C-221B8389C23E}"/>
    <cellStyle name="Normal 4 2 2 4 2 2 4 2" xfId="3231" xr:uid="{5CD91889-C24E-4F02-A860-3DB294567E9F}"/>
    <cellStyle name="Normal 4 2 2 4 2 2 4 3" xfId="3232" xr:uid="{8C8FF3E8-7696-4FAE-9645-AE4B62444292}"/>
    <cellStyle name="Normal 4 2 2 4 2 2 5" xfId="3233" xr:uid="{CFB2882C-61E3-49FA-A9F3-E3923E8AE532}"/>
    <cellStyle name="Normal 4 2 2 4 2 2 6" xfId="3234" xr:uid="{22348FB7-BFA7-4FE5-A6AD-46EFECB4205A}"/>
    <cellStyle name="Normal 4 2 2 4 2 2 7" xfId="3235" xr:uid="{CAAFC8C9-347F-4673-B5AE-9ACD2062C714}"/>
    <cellStyle name="Normal 4 2 2 4 2 3" xfId="3236" xr:uid="{9DA1B31C-8C35-4753-BD86-06034FBB91B9}"/>
    <cellStyle name="Normal 4 2 2 4 2 3 2" xfId="3237" xr:uid="{4AD54B92-2840-4897-89F8-0B871CD1AF02}"/>
    <cellStyle name="Normal 4 2 2 4 2 3 2 2" xfId="3238" xr:uid="{1D0554C5-142B-4202-92E3-FEF8B056F869}"/>
    <cellStyle name="Normal 4 2 2 4 2 3 2 3" xfId="3239" xr:uid="{9C734A0E-B574-4A1E-8CEF-C66E2F2F4E72}"/>
    <cellStyle name="Normal 4 2 2 4 2 3 3" xfId="3240" xr:uid="{21047AB8-45F3-4D7A-9981-DD3FB4CF96C6}"/>
    <cellStyle name="Normal 4 2 2 4 2 3 4" xfId="3241" xr:uid="{34E4DA0E-630F-46CC-8A87-334F3688D3AC}"/>
    <cellStyle name="Normal 4 2 2 4 2 3 5" xfId="3242" xr:uid="{CD1291BD-11B9-4A9F-A980-23B25B6889CA}"/>
    <cellStyle name="Normal 4 2 2 4 2 4" xfId="3243" xr:uid="{FDE67FB4-9AF4-4662-984C-0BDD46DB6BE8}"/>
    <cellStyle name="Normal 4 2 2 4 2 4 2" xfId="3244" xr:uid="{03D16B9E-557A-4A55-8CF8-7F06E922A881}"/>
    <cellStyle name="Normal 4 2 2 4 2 4 2 2" xfId="3245" xr:uid="{F6995945-EAF8-4DD4-B503-ED140D59BCE7}"/>
    <cellStyle name="Normal 4 2 2 4 2 4 2 3" xfId="3246" xr:uid="{C3A8B33E-189B-40BC-91A7-9476D9C631DD}"/>
    <cellStyle name="Normal 4 2 2 4 2 4 3" xfId="3247" xr:uid="{B5239EB7-DEAE-482A-A220-EA52F4FBFFE7}"/>
    <cellStyle name="Normal 4 2 2 4 2 4 4" xfId="3248" xr:uid="{73B3D623-6835-409B-9780-734A84657618}"/>
    <cellStyle name="Normal 4 2 2 4 2 4 5" xfId="3249" xr:uid="{8969E937-B4F4-48A6-9AAC-42BF2D85C421}"/>
    <cellStyle name="Normal 4 2 2 4 2 5" xfId="3250" xr:uid="{4B573A5D-CC97-4187-A442-51051E763063}"/>
    <cellStyle name="Normal 4 2 2 4 2 5 2" xfId="3251" xr:uid="{052C13C2-3246-4912-BD87-D9B314730906}"/>
    <cellStyle name="Normal 4 2 2 4 2 5 3" xfId="3252" xr:uid="{0FCEE59B-E772-4151-8F5A-09AAFE290F03}"/>
    <cellStyle name="Normal 4 2 2 4 2 6" xfId="3253" xr:uid="{65654A2A-D8F1-4782-95A1-06AF9EE346F8}"/>
    <cellStyle name="Normal 4 2 2 4 2 7" xfId="3254" xr:uid="{21C86316-3F14-4A51-B545-E37BAB7B88AB}"/>
    <cellStyle name="Normal 4 2 2 4 2 8" xfId="3255" xr:uid="{69551117-E037-4AD1-9B13-22558533812E}"/>
    <cellStyle name="Normal 4 2 2 4 3" xfId="3256" xr:uid="{2EBC23C9-C553-4C71-A15F-FF7FB17DC47B}"/>
    <cellStyle name="Normal 4 2 2 4 3 2" xfId="3257" xr:uid="{466555F9-537D-4117-9334-374337866714}"/>
    <cellStyle name="Normal 4 2 2 4 3 2 2" xfId="3258" xr:uid="{2D1F93FF-4920-4DE7-8136-C3758E65ABCB}"/>
    <cellStyle name="Normal 4 2 2 4 3 2 2 2" xfId="3259" xr:uid="{643B253F-1450-4880-BEAC-073D3D95D779}"/>
    <cellStyle name="Normal 4 2 2 4 3 2 2 3" xfId="3260" xr:uid="{C9205376-5B63-4355-82BA-80D6044696D0}"/>
    <cellStyle name="Normal 4 2 2 4 3 2 3" xfId="3261" xr:uid="{771734EA-7114-49A6-89CA-F88B197609AE}"/>
    <cellStyle name="Normal 4 2 2 4 3 2 4" xfId="3262" xr:uid="{21A53B7D-9AC9-4B2D-82EB-9E052C4F6BE9}"/>
    <cellStyle name="Normal 4 2 2 4 3 2 5" xfId="3263" xr:uid="{ADBFD64A-4C9A-4DEE-8066-6D4E094E60E0}"/>
    <cellStyle name="Normal 4 2 2 4 3 3" xfId="3264" xr:uid="{A423BABB-1E3B-4980-9A3D-35E3CC7C3218}"/>
    <cellStyle name="Normal 4 2 2 4 3 3 2" xfId="3265" xr:uid="{862574ED-5317-41CA-BAC9-89A8D6DE60DF}"/>
    <cellStyle name="Normal 4 2 2 4 3 3 2 2" xfId="3266" xr:uid="{9EDEF7D8-6363-4C52-9C65-3506B753511C}"/>
    <cellStyle name="Normal 4 2 2 4 3 3 2 3" xfId="3267" xr:uid="{F25B1D6D-596D-4B76-B8CF-6882228A09B3}"/>
    <cellStyle name="Normal 4 2 2 4 3 3 3" xfId="3268" xr:uid="{29AEA84B-F4F8-4BEC-B656-BFFD28D90FDE}"/>
    <cellStyle name="Normal 4 2 2 4 3 3 4" xfId="3269" xr:uid="{5B29D714-7D9A-405C-A8EA-425A47C24F7E}"/>
    <cellStyle name="Normal 4 2 2 4 3 3 5" xfId="3270" xr:uid="{5327F7EB-9B8C-45F6-9588-080688740007}"/>
    <cellStyle name="Normal 4 2 2 4 3 4" xfId="3271" xr:uid="{676B74FF-C92E-4D47-8397-F0BD29006CA0}"/>
    <cellStyle name="Normal 4 2 2 4 3 4 2" xfId="3272" xr:uid="{66C1517B-64F8-40AA-A39F-080EBD342509}"/>
    <cellStyle name="Normal 4 2 2 4 3 4 3" xfId="3273" xr:uid="{48DE2EBB-D6CB-4D3A-B236-466788012681}"/>
    <cellStyle name="Normal 4 2 2 4 3 5" xfId="3274" xr:uid="{F1B0AF2F-F17E-4E16-BE4A-72B5691D99D0}"/>
    <cellStyle name="Normal 4 2 2 4 3 6" xfId="3275" xr:uid="{94B8E752-843F-4647-AF81-7932FD3C333A}"/>
    <cellStyle name="Normal 4 2 2 4 3 7" xfId="3276" xr:uid="{162921D8-E98B-4EA2-8F20-24D0244E176F}"/>
    <cellStyle name="Normal 4 2 2 4 4" xfId="3277" xr:uid="{AF43A7EE-0EBA-4099-BED6-62DFE4A9178E}"/>
    <cellStyle name="Normal 4 2 2 4 4 2" xfId="3278" xr:uid="{F330544A-E395-4D98-95AA-37C2353510EB}"/>
    <cellStyle name="Normal 4 2 2 4 4 2 2" xfId="3279" xr:uid="{9EA835B9-95F6-4836-ABA6-259F3B997FD5}"/>
    <cellStyle name="Normal 4 2 2 4 4 2 3" xfId="3280" xr:uid="{42E4C5A8-CA72-4B83-98C5-AC8EEDF7312B}"/>
    <cellStyle name="Normal 4 2 2 4 4 3" xfId="3281" xr:uid="{DA3C9B8D-1A48-43A9-A82A-AB8307CFEBB5}"/>
    <cellStyle name="Normal 4 2 2 4 4 4" xfId="3282" xr:uid="{49AF87B8-2E2C-4C4A-AB23-B8F50C79C7BF}"/>
    <cellStyle name="Normal 4 2 2 4 4 5" xfId="3283" xr:uid="{B81D8263-A448-4CB6-88A2-F1618DB3F343}"/>
    <cellStyle name="Normal 4 2 2 4 5" xfId="3284" xr:uid="{B9FBDB21-1040-4F49-BD27-CE3C1C09986C}"/>
    <cellStyle name="Normal 4 2 2 4 5 2" xfId="3285" xr:uid="{3EAD53ED-44B5-481C-89CE-FB47AD7173B6}"/>
    <cellStyle name="Normal 4 2 2 4 5 2 2" xfId="3286" xr:uid="{745E6191-84BA-427E-A72E-2738769F2A78}"/>
    <cellStyle name="Normal 4 2 2 4 5 2 3" xfId="3287" xr:uid="{EFD9329F-98DE-4286-A1F3-FFC398E62A0A}"/>
    <cellStyle name="Normal 4 2 2 4 5 3" xfId="3288" xr:uid="{7ACE0CD7-B2E0-415A-8291-FC07F31AC1C6}"/>
    <cellStyle name="Normal 4 2 2 4 5 4" xfId="3289" xr:uid="{7B97D74F-6B84-48B5-9ECF-89281BA9F57E}"/>
    <cellStyle name="Normal 4 2 2 4 5 5" xfId="3290" xr:uid="{DFE6BFE6-B8ED-402D-9EEB-3567584AB574}"/>
    <cellStyle name="Normal 4 2 2 4 6" xfId="3291" xr:uid="{7FC1BC5C-F314-425A-B367-47D3BE46CF76}"/>
    <cellStyle name="Normal 4 2 2 4 6 2" xfId="3292" xr:uid="{0CAD0B78-D2B3-44AF-A403-DF6481D6FD15}"/>
    <cellStyle name="Normal 4 2 2 4 6 3" xfId="3293" xr:uid="{DAE27A64-7E32-4DBD-B811-067E024361A5}"/>
    <cellStyle name="Normal 4 2 2 4 7" xfId="3294" xr:uid="{C46C24AB-BD25-4BD7-BA9B-93F34FE22F4F}"/>
    <cellStyle name="Normal 4 2 2 4 8" xfId="3295" xr:uid="{A568E2F9-B651-49A6-A5C4-A3C694646171}"/>
    <cellStyle name="Normal 4 2 2 4 9" xfId="3296" xr:uid="{B02947A4-9D79-4AE4-8095-7FD465720672}"/>
    <cellStyle name="Normal 4 2 2 5" xfId="3297" xr:uid="{ED080C83-17B4-431D-B733-9B85B1408680}"/>
    <cellStyle name="Normal 4 2 2 5 2" xfId="3298" xr:uid="{8EC2DA7D-AFDE-433F-9781-4B8549D74765}"/>
    <cellStyle name="Normal 4 2 2 5 2 2" xfId="3299" xr:uid="{75C964CD-49CF-432B-ADE6-7CCA83639A33}"/>
    <cellStyle name="Normal 4 2 2 5 2 2 2" xfId="3300" xr:uid="{30481EBD-3713-4166-99A9-EED94AC6B3E3}"/>
    <cellStyle name="Normal 4 2 2 5 2 2 2 2" xfId="3301" xr:uid="{2DD4D6AD-C5FE-4D9E-B9B7-C6BF67612CF4}"/>
    <cellStyle name="Normal 4 2 2 5 2 2 2 2 2" xfId="3302" xr:uid="{305CD293-9F5E-4B98-BECE-9E6BBCBF3859}"/>
    <cellStyle name="Normal 4 2 2 5 2 2 2 2 3" xfId="3303" xr:uid="{C1432F21-A86F-4465-8CA2-8901E7471B4A}"/>
    <cellStyle name="Normal 4 2 2 5 2 2 2 3" xfId="3304" xr:uid="{F45CB521-B2F1-42D2-A31C-0C62DB89515C}"/>
    <cellStyle name="Normal 4 2 2 5 2 2 2 4" xfId="3305" xr:uid="{88A4DC33-1172-4C9D-ADFE-DD99A737616E}"/>
    <cellStyle name="Normal 4 2 2 5 2 2 2 5" xfId="3306" xr:uid="{0B4641A1-2A90-464A-8766-C96DA13184A8}"/>
    <cellStyle name="Normal 4 2 2 5 2 2 3" xfId="3307" xr:uid="{482468EB-AE73-491F-AEAD-9DC0A1FDE20E}"/>
    <cellStyle name="Normal 4 2 2 5 2 2 3 2" xfId="3308" xr:uid="{50520EFF-6E32-4911-8FAA-25682A1BE6DC}"/>
    <cellStyle name="Normal 4 2 2 5 2 2 3 2 2" xfId="3309" xr:uid="{087AF79D-8124-4F53-9B26-B298B608BCC2}"/>
    <cellStyle name="Normal 4 2 2 5 2 2 3 2 3" xfId="3310" xr:uid="{26E787C0-388B-448C-8EC8-28B359B32D25}"/>
    <cellStyle name="Normal 4 2 2 5 2 2 3 3" xfId="3311" xr:uid="{D9A9CAA0-3A01-4041-B5C1-F33870276511}"/>
    <cellStyle name="Normal 4 2 2 5 2 2 3 4" xfId="3312" xr:uid="{8281A0FA-2A5C-4348-8A9C-19F0B136A6C7}"/>
    <cellStyle name="Normal 4 2 2 5 2 2 3 5" xfId="3313" xr:uid="{C13A60CE-F5A4-475A-8132-5C0C7B15A32B}"/>
    <cellStyle name="Normal 4 2 2 5 2 2 4" xfId="3314" xr:uid="{5F069FB1-8C12-4E7A-9B95-EF47EE90AA0C}"/>
    <cellStyle name="Normal 4 2 2 5 2 2 4 2" xfId="3315" xr:uid="{C507E15C-ECE6-4FFD-8524-1D6BD3EB0285}"/>
    <cellStyle name="Normal 4 2 2 5 2 2 4 3" xfId="3316" xr:uid="{B7D2E3CC-7252-4384-B11A-EA37146D0B21}"/>
    <cellStyle name="Normal 4 2 2 5 2 2 5" xfId="3317" xr:uid="{767C8D4E-968B-41E6-9CA7-F2F22FF522D2}"/>
    <cellStyle name="Normal 4 2 2 5 2 2 6" xfId="3318" xr:uid="{64B772FC-85AC-4EE9-BE3B-205542D429FD}"/>
    <cellStyle name="Normal 4 2 2 5 2 2 7" xfId="3319" xr:uid="{5951EE43-F34C-4839-86D7-6B262C5397F1}"/>
    <cellStyle name="Normal 4 2 2 5 2 3" xfId="3320" xr:uid="{0A3296D6-FC04-4023-83C3-EDE87DB9D304}"/>
    <cellStyle name="Normal 4 2 2 5 2 3 2" xfId="3321" xr:uid="{CD771607-7F72-4CF8-B798-8C8C1AD55BF6}"/>
    <cellStyle name="Normal 4 2 2 5 2 3 2 2" xfId="3322" xr:uid="{F6D4794E-F4E5-4D15-A5F7-D8CA44D18FBB}"/>
    <cellStyle name="Normal 4 2 2 5 2 3 2 3" xfId="3323" xr:uid="{B539C159-732F-4684-99C3-6EA8721DB6FB}"/>
    <cellStyle name="Normal 4 2 2 5 2 3 3" xfId="3324" xr:uid="{FD828218-ED51-4D16-A77B-0D9AB8C8D245}"/>
    <cellStyle name="Normal 4 2 2 5 2 3 4" xfId="3325" xr:uid="{C67C0850-C89D-48D8-B015-3D3D7F3EE6C4}"/>
    <cellStyle name="Normal 4 2 2 5 2 3 5" xfId="3326" xr:uid="{94C7193D-451E-44C2-9339-9CDB2777AD06}"/>
    <cellStyle name="Normal 4 2 2 5 2 4" xfId="3327" xr:uid="{9ADF798E-EA36-4F8A-A6C1-6BD1592A4445}"/>
    <cellStyle name="Normal 4 2 2 5 2 4 2" xfId="3328" xr:uid="{A018A68E-E2BF-4B26-94F7-61B740018496}"/>
    <cellStyle name="Normal 4 2 2 5 2 4 2 2" xfId="3329" xr:uid="{CBDAF9CC-CF6E-4483-B47A-E2A250E2EF5B}"/>
    <cellStyle name="Normal 4 2 2 5 2 4 2 3" xfId="3330" xr:uid="{A7076F57-193D-4D0C-A4BF-B2299D6AA5F1}"/>
    <cellStyle name="Normal 4 2 2 5 2 4 3" xfId="3331" xr:uid="{819FC4C8-01BC-4693-885D-80E8060A6DBF}"/>
    <cellStyle name="Normal 4 2 2 5 2 4 4" xfId="3332" xr:uid="{9293F598-259A-4021-AF02-D99C7AA2FAE8}"/>
    <cellStyle name="Normal 4 2 2 5 2 4 5" xfId="3333" xr:uid="{188C7CAC-AFA2-4E86-B234-D0C58A89B9CF}"/>
    <cellStyle name="Normal 4 2 2 5 2 5" xfId="3334" xr:uid="{ED74DC86-3C89-4D65-9DF3-626337199DE6}"/>
    <cellStyle name="Normal 4 2 2 5 2 5 2" xfId="3335" xr:uid="{C4A2BB16-A74A-4156-AB0D-3FA3600E2A2B}"/>
    <cellStyle name="Normal 4 2 2 5 2 5 3" xfId="3336" xr:uid="{6E90581A-923F-4158-B827-67F053D949C2}"/>
    <cellStyle name="Normal 4 2 2 5 2 6" xfId="3337" xr:uid="{6BAFF280-D1B7-46ED-8BF1-530F02814D4A}"/>
    <cellStyle name="Normal 4 2 2 5 2 7" xfId="3338" xr:uid="{B2B87587-FAE1-4BE2-9205-02A7FB45F538}"/>
    <cellStyle name="Normal 4 2 2 5 2 8" xfId="3339" xr:uid="{DB8558E9-8C3F-4B29-A11A-85ADDC5142F7}"/>
    <cellStyle name="Normal 4 2 2 5 3" xfId="3340" xr:uid="{7F8577AB-92D3-4BBC-80C5-F8315F5AE6A7}"/>
    <cellStyle name="Normal 4 2 2 5 3 2" xfId="3341" xr:uid="{885F0442-A944-4255-B6C9-E74063C8C3DC}"/>
    <cellStyle name="Normal 4 2 2 5 3 2 2" xfId="3342" xr:uid="{12C66BC0-198F-4D5B-929B-57EB0FCEF6D3}"/>
    <cellStyle name="Normal 4 2 2 5 3 2 2 2" xfId="3343" xr:uid="{FEA72728-711E-4A95-A763-4452B8510FCF}"/>
    <cellStyle name="Normal 4 2 2 5 3 2 2 3" xfId="3344" xr:uid="{DF7220C7-6D18-41D1-B1A1-685D3BC04051}"/>
    <cellStyle name="Normal 4 2 2 5 3 2 3" xfId="3345" xr:uid="{8BF1F3D3-C877-4BC5-B6EE-1EFFE77D20A9}"/>
    <cellStyle name="Normal 4 2 2 5 3 2 4" xfId="3346" xr:uid="{88A6BAE7-6235-4C29-8306-7E3241D54111}"/>
    <cellStyle name="Normal 4 2 2 5 3 2 5" xfId="3347" xr:uid="{E2496770-B1EA-40B3-B288-3BA840E3D863}"/>
    <cellStyle name="Normal 4 2 2 5 3 3" xfId="3348" xr:uid="{FCB8678A-6027-4A86-AAEC-256312828E48}"/>
    <cellStyle name="Normal 4 2 2 5 3 3 2" xfId="3349" xr:uid="{48313145-70EC-4A94-B349-FEBBD2AED44E}"/>
    <cellStyle name="Normal 4 2 2 5 3 3 2 2" xfId="3350" xr:uid="{D3F871D9-2D02-4FFE-BDB2-5E1AB37299A1}"/>
    <cellStyle name="Normal 4 2 2 5 3 3 2 3" xfId="3351" xr:uid="{3A81E209-77BF-44FB-934B-E84BD844BEA0}"/>
    <cellStyle name="Normal 4 2 2 5 3 3 3" xfId="3352" xr:uid="{5A4E07FB-0DFD-4173-83C2-7F401E8761DA}"/>
    <cellStyle name="Normal 4 2 2 5 3 3 4" xfId="3353" xr:uid="{3FB5A666-AEA9-4001-8F9B-5202A6FAD8D9}"/>
    <cellStyle name="Normal 4 2 2 5 3 3 5" xfId="3354" xr:uid="{AF9D0B36-7975-4AF4-9D5A-2CD850E6EFC7}"/>
    <cellStyle name="Normal 4 2 2 5 3 4" xfId="3355" xr:uid="{90B7DD0E-0397-474B-BA93-D6B87106ED66}"/>
    <cellStyle name="Normal 4 2 2 5 3 4 2" xfId="3356" xr:uid="{5FB89FE0-04C6-4FF2-84B7-861C9BE726C4}"/>
    <cellStyle name="Normal 4 2 2 5 3 4 3" xfId="3357" xr:uid="{835F115E-B3DB-4B25-B849-7EB3B9B5465E}"/>
    <cellStyle name="Normal 4 2 2 5 3 5" xfId="3358" xr:uid="{BD644B71-B29A-40AF-8D73-3543FC7B98C3}"/>
    <cellStyle name="Normal 4 2 2 5 3 6" xfId="3359" xr:uid="{1EBC2E09-C0E3-48E2-8AFE-4ECA5174B39D}"/>
    <cellStyle name="Normal 4 2 2 5 3 7" xfId="3360" xr:uid="{F2D8E070-CCF0-4486-B9FC-B7515EA04A90}"/>
    <cellStyle name="Normal 4 2 2 5 4" xfId="3361" xr:uid="{4D4D413F-561D-410A-A8D7-C4176A0D42AE}"/>
    <cellStyle name="Normal 4 2 2 5 4 2" xfId="3362" xr:uid="{22FA6147-862E-4205-AFC6-DA7A5AB68223}"/>
    <cellStyle name="Normal 4 2 2 5 4 2 2" xfId="3363" xr:uid="{F21E0DE8-1ACB-488B-ABA2-3B5CBDECB1CF}"/>
    <cellStyle name="Normal 4 2 2 5 4 2 3" xfId="3364" xr:uid="{F6BA6583-38CD-4842-87D1-69A40326C7FE}"/>
    <cellStyle name="Normal 4 2 2 5 4 3" xfId="3365" xr:uid="{5ADCB00C-AA39-4888-9F96-4D89AD4EF5B1}"/>
    <cellStyle name="Normal 4 2 2 5 4 4" xfId="3366" xr:uid="{8C86D131-6AA4-4B48-BD30-F6D62FC817BE}"/>
    <cellStyle name="Normal 4 2 2 5 4 5" xfId="3367" xr:uid="{5DF57FB6-F2A3-42FE-BE82-F3807B64F023}"/>
    <cellStyle name="Normal 4 2 2 5 5" xfId="3368" xr:uid="{D5C25A43-B8D7-4A8E-A732-2DF6CC994443}"/>
    <cellStyle name="Normal 4 2 2 5 5 2" xfId="3369" xr:uid="{17028C8D-AC0B-44D6-857B-71AE261D5D50}"/>
    <cellStyle name="Normal 4 2 2 5 5 2 2" xfId="3370" xr:uid="{9AD05A27-001C-4062-81F3-430F3383B23E}"/>
    <cellStyle name="Normal 4 2 2 5 5 2 3" xfId="3371" xr:uid="{EBBE667E-0553-4D55-AC18-0386DA9330DE}"/>
    <cellStyle name="Normal 4 2 2 5 5 3" xfId="3372" xr:uid="{DD13D6FE-2AAA-4ED0-AEBD-99AB0B4B544B}"/>
    <cellStyle name="Normal 4 2 2 5 5 4" xfId="3373" xr:uid="{5BAAB560-3448-4885-AAF9-B28FF1B2DE6B}"/>
    <cellStyle name="Normal 4 2 2 5 5 5" xfId="3374" xr:uid="{18061CA3-3877-4E8B-ADF4-2E89B10C29AA}"/>
    <cellStyle name="Normal 4 2 2 5 6" xfId="3375" xr:uid="{E4E65065-B254-4DC7-A92D-73F53F1FC415}"/>
    <cellStyle name="Normal 4 2 2 5 6 2" xfId="3376" xr:uid="{3842FE94-DC78-49EE-8DCC-647E2710D05E}"/>
    <cellStyle name="Normal 4 2 2 5 6 3" xfId="3377" xr:uid="{D2FD60C1-83C3-43D6-A040-96EE25BA2814}"/>
    <cellStyle name="Normal 4 2 2 5 7" xfId="3378" xr:uid="{7DA7B3C2-8295-4FA8-A86B-7C458C546037}"/>
    <cellStyle name="Normal 4 2 2 5 8" xfId="3379" xr:uid="{AADCB41B-BCF9-4B60-BA8F-FC808FCB1EDD}"/>
    <cellStyle name="Normal 4 2 2 5 9" xfId="3380" xr:uid="{92D00242-B658-4720-991D-6846B328BE0C}"/>
    <cellStyle name="Normal 4 2 2 6" xfId="3381" xr:uid="{76547799-D959-42F2-8DC8-7972A7E2EC48}"/>
    <cellStyle name="Normal 4 2 2 6 2" xfId="3382" xr:uid="{16C63CEB-D1EF-4D06-8A57-A5AE21048393}"/>
    <cellStyle name="Normal 4 2 2 6 2 2" xfId="3383" xr:uid="{FEC170EB-477B-4CD9-B329-88519991E317}"/>
    <cellStyle name="Normal 4 2 2 6 2 2 2" xfId="3384" xr:uid="{9B40BB37-AE12-4326-8E22-80C7D61D2ED2}"/>
    <cellStyle name="Normal 4 2 2 6 2 2 2 2" xfId="3385" xr:uid="{9C7B293E-2A00-4F6F-B3D3-3A21BF30B5DF}"/>
    <cellStyle name="Normal 4 2 2 6 2 2 2 3" xfId="3386" xr:uid="{A7A4E55D-4503-4C13-81FF-BA5566A93B4F}"/>
    <cellStyle name="Normal 4 2 2 6 2 2 3" xfId="3387" xr:uid="{56939029-9688-4EA7-BE1D-153AF0642FC8}"/>
    <cellStyle name="Normal 4 2 2 6 2 2 4" xfId="3388" xr:uid="{4A0900E1-F094-43FC-94A8-FA9DA1B4393B}"/>
    <cellStyle name="Normal 4 2 2 6 2 2 5" xfId="3389" xr:uid="{66EFB9D8-4452-4AAD-92D5-3EE41A8022C6}"/>
    <cellStyle name="Normal 4 2 2 6 2 3" xfId="3390" xr:uid="{34DF37D3-60F0-413C-B287-4BBEE26E39C1}"/>
    <cellStyle name="Normal 4 2 2 6 2 3 2" xfId="3391" xr:uid="{25FED1E0-22CA-4156-9901-4ADEF3787893}"/>
    <cellStyle name="Normal 4 2 2 6 2 3 2 2" xfId="3392" xr:uid="{FA8D17F6-FE93-4E5A-8327-CB2AB7E847E4}"/>
    <cellStyle name="Normal 4 2 2 6 2 3 2 3" xfId="3393" xr:uid="{4FE164BD-1AD6-4624-AF13-3EA6D52C56DA}"/>
    <cellStyle name="Normal 4 2 2 6 2 3 3" xfId="3394" xr:uid="{912FD360-AFB7-4A09-BCF1-59793D49D1A2}"/>
    <cellStyle name="Normal 4 2 2 6 2 3 4" xfId="3395" xr:uid="{410F1EFF-8B3F-47BA-B783-7834323C407B}"/>
    <cellStyle name="Normal 4 2 2 6 2 3 5" xfId="3396" xr:uid="{7F47584B-4040-49C9-AD63-0A43E777C2CE}"/>
    <cellStyle name="Normal 4 2 2 6 2 4" xfId="3397" xr:uid="{DCA2CDA6-02B9-4DCC-A0BA-AAF517CE657D}"/>
    <cellStyle name="Normal 4 2 2 6 2 4 2" xfId="3398" xr:uid="{E5E70D94-96B0-4879-B076-E5C7972BF490}"/>
    <cellStyle name="Normal 4 2 2 6 2 4 3" xfId="3399" xr:uid="{78393F8D-0773-40FB-960C-67662BBECFF8}"/>
    <cellStyle name="Normal 4 2 2 6 2 5" xfId="3400" xr:uid="{C49C0FAC-92D7-425F-9D62-8C2FA8F58EDA}"/>
    <cellStyle name="Normal 4 2 2 6 2 6" xfId="3401" xr:uid="{6189C807-11B0-4407-9D71-BC6CCCD85663}"/>
    <cellStyle name="Normal 4 2 2 6 2 7" xfId="3402" xr:uid="{B8C82A64-9FE7-4F0B-A86C-E933E72BD7FE}"/>
    <cellStyle name="Normal 4 2 2 6 3" xfId="3403" xr:uid="{06AA5A32-952A-4F25-99DA-980111CBFA75}"/>
    <cellStyle name="Normal 4 2 2 6 3 2" xfId="3404" xr:uid="{B1AC245C-9E88-44DE-B111-5839E4D85A91}"/>
    <cellStyle name="Normal 4 2 2 6 3 2 2" xfId="3405" xr:uid="{BACA79F0-36F1-4AB8-BB84-ADD7D7040149}"/>
    <cellStyle name="Normal 4 2 2 6 3 2 3" xfId="3406" xr:uid="{F6B54C9B-39E3-4E8C-9DB1-3802B6A62FA3}"/>
    <cellStyle name="Normal 4 2 2 6 3 3" xfId="3407" xr:uid="{5052CCC4-DF89-4C37-9D28-375B0872767C}"/>
    <cellStyle name="Normal 4 2 2 6 3 4" xfId="3408" xr:uid="{B48CCECE-75C6-448C-B689-03892C3BA883}"/>
    <cellStyle name="Normal 4 2 2 6 3 5" xfId="3409" xr:uid="{CD784AFE-CDF2-431C-9145-7CFF670910ED}"/>
    <cellStyle name="Normal 4 2 2 6 4" xfId="3410" xr:uid="{56D31CF3-212C-437B-A10B-987924C93DD7}"/>
    <cellStyle name="Normal 4 2 2 6 4 2" xfId="3411" xr:uid="{95EFB778-36EB-4975-B99D-3FA3E33A87A5}"/>
    <cellStyle name="Normal 4 2 2 6 4 2 2" xfId="3412" xr:uid="{E0EEE036-CE53-4C46-A596-7EFD0288505E}"/>
    <cellStyle name="Normal 4 2 2 6 4 2 3" xfId="3413" xr:uid="{2321FCD0-9D69-435A-8719-F582812727B1}"/>
    <cellStyle name="Normal 4 2 2 6 4 3" xfId="3414" xr:uid="{08AFD70F-4BE0-4586-ACFE-42CC8C7DB999}"/>
    <cellStyle name="Normal 4 2 2 6 4 4" xfId="3415" xr:uid="{718F53F0-80D2-45BC-93BC-A0D5BFE3DA6E}"/>
    <cellStyle name="Normal 4 2 2 6 4 5" xfId="3416" xr:uid="{0070D6CE-DFB1-47F9-BD3D-4D78A4F976BC}"/>
    <cellStyle name="Normal 4 2 2 6 5" xfId="3417" xr:uid="{50A7B1B7-6620-4636-915D-AE354A9AA239}"/>
    <cellStyle name="Normal 4 2 2 6 5 2" xfId="3418" xr:uid="{8C7EC5B5-8FF4-46AF-80F0-6AB28260771B}"/>
    <cellStyle name="Normal 4 2 2 6 5 3" xfId="3419" xr:uid="{68766BBA-85DE-411D-9253-2EAE50AC6048}"/>
    <cellStyle name="Normal 4 2 2 6 6" xfId="3420" xr:uid="{A2C65BD8-F4CA-45E3-8274-BD409890D872}"/>
    <cellStyle name="Normal 4 2 2 6 7" xfId="3421" xr:uid="{53F82548-CF72-462A-8409-99095F476B4F}"/>
    <cellStyle name="Normal 4 2 2 6 8" xfId="3422" xr:uid="{1D4384F4-66DF-4D14-B2D3-4CA6F1ADD98C}"/>
    <cellStyle name="Normal 4 2 2 7" xfId="3423" xr:uid="{C76178F1-B783-416A-AE5B-E92C388DBED2}"/>
    <cellStyle name="Normal 4 2 2 7 2" xfId="3424" xr:uid="{644C50B3-5421-4E58-96DD-A68377957ACC}"/>
    <cellStyle name="Normal 4 2 2 7 2 2" xfId="3425" xr:uid="{5B219B4B-B587-4B23-BC5E-21862FD2472B}"/>
    <cellStyle name="Normal 4 2 2 7 2 2 2" xfId="3426" xr:uid="{F6170709-3A18-4461-B03C-F3A8749D7A9C}"/>
    <cellStyle name="Normal 4 2 2 7 2 2 3" xfId="3427" xr:uid="{9D3955FD-40FA-4B39-90FA-26320BC32E01}"/>
    <cellStyle name="Normal 4 2 2 7 2 3" xfId="3428" xr:uid="{6CDBC183-0FB9-41CC-B307-96781F9A4526}"/>
    <cellStyle name="Normal 4 2 2 7 2 4" xfId="3429" xr:uid="{AD9ED781-ECF3-49D2-973C-32FEB3D29882}"/>
    <cellStyle name="Normal 4 2 2 7 2 5" xfId="3430" xr:uid="{9F79A6B0-781E-43EE-8DB8-18B2754DA662}"/>
    <cellStyle name="Normal 4 2 2 7 3" xfId="3431" xr:uid="{94FACFBD-3945-4A30-8C68-CB45512F5D01}"/>
    <cellStyle name="Normal 4 2 2 7 3 2" xfId="3432" xr:uid="{0FCFD727-96D6-49C4-9D8B-AAC12F03965C}"/>
    <cellStyle name="Normal 4 2 2 7 3 2 2" xfId="3433" xr:uid="{6B76DA0A-6C36-46BE-BB8D-2D67A9DE7B2D}"/>
    <cellStyle name="Normal 4 2 2 7 3 2 3" xfId="3434" xr:uid="{0B98A05D-F27B-4B0B-868B-E14E5A8617A0}"/>
    <cellStyle name="Normal 4 2 2 7 3 3" xfId="3435" xr:uid="{23EA99C8-9120-4460-BBBC-4F95152B1B5F}"/>
    <cellStyle name="Normal 4 2 2 7 3 4" xfId="3436" xr:uid="{C829178E-095F-4172-B61C-290B5FC51333}"/>
    <cellStyle name="Normal 4 2 2 7 3 5" xfId="3437" xr:uid="{468CE662-46E4-45F9-9130-D51A0F5A644C}"/>
    <cellStyle name="Normal 4 2 2 7 4" xfId="3438" xr:uid="{77EDD920-6F65-4C82-A605-21CB805848F3}"/>
    <cellStyle name="Normal 4 2 2 7 4 2" xfId="3439" xr:uid="{68A88887-B156-40EE-8E97-8BDF6FC898B9}"/>
    <cellStyle name="Normal 4 2 2 7 4 3" xfId="3440" xr:uid="{8F68EE7D-58D7-4444-B577-EDE628DDAD46}"/>
    <cellStyle name="Normal 4 2 2 7 5" xfId="3441" xr:uid="{8EDA864D-CDD2-4435-94F8-40E10AEC6E99}"/>
    <cellStyle name="Normal 4 2 2 7 6" xfId="3442" xr:uid="{3546D33D-E0AC-4ED9-AC98-DF22488FDB4A}"/>
    <cellStyle name="Normal 4 2 2 7 7" xfId="3443" xr:uid="{F95A0440-44DF-400F-9A6E-A56BCE112787}"/>
    <cellStyle name="Normal 4 2 2 8" xfId="3444" xr:uid="{4DD6EA83-0638-4C5C-B96F-EBE330BBFBC5}"/>
    <cellStyle name="Normal 4 2 2 8 2" xfId="3445" xr:uid="{E812BCAF-A557-46B3-A812-E82B77DE512D}"/>
    <cellStyle name="Normal 4 2 2 8 2 2" xfId="3446" xr:uid="{F196FC4E-D953-41CA-836E-DF7FFEF11705}"/>
    <cellStyle name="Normal 4 2 2 8 2 2 2" xfId="3447" xr:uid="{DC61D6EC-3474-457B-B33F-047D168DA7CD}"/>
    <cellStyle name="Normal 4 2 2 8 2 2 3" xfId="3448" xr:uid="{621929EE-CD9E-4665-8393-C0847F0675F3}"/>
    <cellStyle name="Normal 4 2 2 8 2 3" xfId="3449" xr:uid="{E6850A21-62B5-4D8E-9AA2-1E53D8D7304C}"/>
    <cellStyle name="Normal 4 2 2 8 2 4" xfId="3450" xr:uid="{950A60F1-6BD7-45B7-BDE1-3FCCE59F63C1}"/>
    <cellStyle name="Normal 4 2 2 8 2 5" xfId="3451" xr:uid="{AC893596-556D-4FB1-88F5-901C3CAB737F}"/>
    <cellStyle name="Normal 4 2 2 8 3" xfId="3452" xr:uid="{0DBDE312-816C-4837-AE86-9BABBF834F8F}"/>
    <cellStyle name="Normal 4 2 2 8 3 2" xfId="3453" xr:uid="{4591CD9D-0B44-42E9-A450-594F1EBDCB80}"/>
    <cellStyle name="Normal 4 2 2 8 3 2 2" xfId="3454" xr:uid="{C680EC20-449A-4CEB-BB2A-EB93AB7EE008}"/>
    <cellStyle name="Normal 4 2 2 8 3 2 3" xfId="3455" xr:uid="{DC67FB4E-C9EC-4A94-B424-DEC7F45353CC}"/>
    <cellStyle name="Normal 4 2 2 8 3 3" xfId="3456" xr:uid="{8746A74E-4758-4EA0-B573-9292437A435A}"/>
    <cellStyle name="Normal 4 2 2 8 3 4" xfId="3457" xr:uid="{31EAD87E-EFAD-4AD1-8A89-EA5EF7F9520E}"/>
    <cellStyle name="Normal 4 2 2 8 3 5" xfId="3458" xr:uid="{98E914F5-0016-4752-BE3F-2958508C8977}"/>
    <cellStyle name="Normal 4 2 2 8 4" xfId="3459" xr:uid="{D8954F78-B374-4C37-A1C9-F77F0688004F}"/>
    <cellStyle name="Normal 4 2 2 8 4 2" xfId="3460" xr:uid="{CF54BF9C-0E06-42FD-9C9D-90374FC9092B}"/>
    <cellStyle name="Normal 4 2 2 8 4 3" xfId="3461" xr:uid="{6EFE1BFD-4256-4590-A22C-0D2FC3B9D839}"/>
    <cellStyle name="Normal 4 2 2 8 5" xfId="3462" xr:uid="{61DEB501-3B0D-4266-97D1-4750E1533D68}"/>
    <cellStyle name="Normal 4 2 2 8 6" xfId="3463" xr:uid="{08342EB2-C8F7-4F8A-826E-A61EF457BDEF}"/>
    <cellStyle name="Normal 4 2 2 8 7" xfId="3464" xr:uid="{D8764369-A603-43B4-9EE7-D227A1C702C7}"/>
    <cellStyle name="Normal 4 2 2 9" xfId="3465" xr:uid="{7504F96E-6223-4D7E-B8CD-B8C10A6326B1}"/>
    <cellStyle name="Normal 4 2 2 9 2" xfId="3466" xr:uid="{88F08C3B-09A3-4601-8F12-85AD37863991}"/>
    <cellStyle name="Normal 4 2 2 9 2 2" xfId="3467" xr:uid="{E068D987-4A5E-4205-ADD0-B48D5DEA7B77}"/>
    <cellStyle name="Normal 4 2 2 9 2 3" xfId="3468" xr:uid="{68818B67-4E79-4BDA-86D2-3DB7AF56691A}"/>
    <cellStyle name="Normal 4 2 2 9 3" xfId="3469" xr:uid="{C1A38CCF-0C0F-43B6-96FB-600CFAA9BBE3}"/>
    <cellStyle name="Normal 4 2 2 9 4" xfId="3470" xr:uid="{EB933091-F532-407D-B1D7-B3AA0EB31E9B}"/>
    <cellStyle name="Normal 4 2 2 9 5" xfId="3471" xr:uid="{8177B3F0-CA22-468F-BD76-1E1587CC4D74}"/>
    <cellStyle name="Normal 4 2 3" xfId="3472" xr:uid="{E2154B20-593E-496E-9E8D-64E3EDB65615}"/>
    <cellStyle name="Normal 4 2 3 10" xfId="3473" xr:uid="{01662665-9329-4B7C-BDA6-FF4CBB562FBE}"/>
    <cellStyle name="Normal 4 2 3 10 2" xfId="3474" xr:uid="{26B11731-9E52-42D5-A289-099464ED62C3}"/>
    <cellStyle name="Normal 4 2 3 10 2 2" xfId="3475" xr:uid="{6DFC8F9C-284F-4A42-B836-E5F85DE764CF}"/>
    <cellStyle name="Normal 4 2 3 10 2 3" xfId="3476" xr:uid="{5B121B0D-BB6E-4808-81CB-0A202D83FD94}"/>
    <cellStyle name="Normal 4 2 3 10 3" xfId="3477" xr:uid="{24F3D1D5-A9BD-4B55-BC89-0099A6068B63}"/>
    <cellStyle name="Normal 4 2 3 10 4" xfId="3478" xr:uid="{43DA6A9D-5F42-48DF-A331-725206BF4626}"/>
    <cellStyle name="Normal 4 2 3 10 5" xfId="3479" xr:uid="{58987370-C152-439B-A41D-553B7286BA4C}"/>
    <cellStyle name="Normal 4 2 3 11" xfId="3480" xr:uid="{0719BA67-16DA-4642-A36C-E531539D4375}"/>
    <cellStyle name="Normal 4 2 3 11 2" xfId="3481" xr:uid="{21F617BD-74B3-4170-A5E5-E5DFA40DE87C}"/>
    <cellStyle name="Normal 4 2 3 11 3" xfId="3482" xr:uid="{14E498CC-974B-4627-BE32-6B7E18D0FA2C}"/>
    <cellStyle name="Normal 4 2 3 12" xfId="3483" xr:uid="{4F200A14-08D8-4361-B67E-B83798039F60}"/>
    <cellStyle name="Normal 4 2 3 13" xfId="3484" xr:uid="{315179B7-7F6A-4DC5-905F-60780D780BB3}"/>
    <cellStyle name="Normal 4 2 3 14" xfId="3485" xr:uid="{F9A31158-55EA-48BA-AB0C-A1B75C6DF88D}"/>
    <cellStyle name="Normal 4 2 3 2" xfId="3486" xr:uid="{F4CF9E49-1D73-4C09-B0F9-7A5B349958A2}"/>
    <cellStyle name="Normal 4 2 3 2 10" xfId="3487" xr:uid="{31402210-9590-40E3-94F2-B46175A7A6B8}"/>
    <cellStyle name="Normal 4 2 3 2 11" xfId="3488" xr:uid="{B4847D68-19A8-42D2-ACDC-11749B778ED6}"/>
    <cellStyle name="Normal 4 2 3 2 12" xfId="3489" xr:uid="{5F12356A-0AA6-44C0-9699-8F2534CD6C36}"/>
    <cellStyle name="Normal 4 2 3 2 2" xfId="3490" xr:uid="{795DCFA4-3DC6-4432-8C76-44C80589FBE0}"/>
    <cellStyle name="Normal 4 2 3 2 2 2" xfId="3491" xr:uid="{6F002540-AE97-42CD-B8AF-7FBCCEA65350}"/>
    <cellStyle name="Normal 4 2 3 2 2 2 2" xfId="3492" xr:uid="{C58EAC2A-146D-415E-9914-9A1FCE69498F}"/>
    <cellStyle name="Normal 4 2 3 2 2 2 2 2" xfId="3493" xr:uid="{2453ACC9-0BD4-4014-8C76-F328237C9940}"/>
    <cellStyle name="Normal 4 2 3 2 2 2 2 2 2" xfId="3494" xr:uid="{1DC211D6-47BB-4EED-9F53-E980D50E85DD}"/>
    <cellStyle name="Normal 4 2 3 2 2 2 2 2 2 2" xfId="3495" xr:uid="{00E09C80-65C0-419D-B04C-4E2A27F82C66}"/>
    <cellStyle name="Normal 4 2 3 2 2 2 2 2 2 3" xfId="3496" xr:uid="{7E3B7F7F-D073-4698-9E4D-5E4CF72241D7}"/>
    <cellStyle name="Normal 4 2 3 2 2 2 2 2 3" xfId="3497" xr:uid="{EE9D9865-8F84-4D53-B3A7-9B101201609B}"/>
    <cellStyle name="Normal 4 2 3 2 2 2 2 2 4" xfId="3498" xr:uid="{BA7C91D7-2FD8-4410-AFF4-6599CA6165E8}"/>
    <cellStyle name="Normal 4 2 3 2 2 2 2 2 5" xfId="3499" xr:uid="{CF1DDC82-6C76-4985-A107-A63A272439BF}"/>
    <cellStyle name="Normal 4 2 3 2 2 2 2 3" xfId="3500" xr:uid="{E333A24F-1CB4-4D3F-BB54-47F409ADD79A}"/>
    <cellStyle name="Normal 4 2 3 2 2 2 2 3 2" xfId="3501" xr:uid="{938D0F33-165E-4E91-8515-3ED9F86FBF7A}"/>
    <cellStyle name="Normal 4 2 3 2 2 2 2 3 2 2" xfId="3502" xr:uid="{F1C654EF-22B8-4F5C-B7E6-180D5F940818}"/>
    <cellStyle name="Normal 4 2 3 2 2 2 2 3 2 3" xfId="3503" xr:uid="{3C5CF218-D1D1-4985-A016-4300E36F38A8}"/>
    <cellStyle name="Normal 4 2 3 2 2 2 2 3 3" xfId="3504" xr:uid="{34177E0A-16E2-4FE8-8A4F-FAF38193B6DE}"/>
    <cellStyle name="Normal 4 2 3 2 2 2 2 3 4" xfId="3505" xr:uid="{484DEBFC-78F4-4DD6-B232-9C555CAAF965}"/>
    <cellStyle name="Normal 4 2 3 2 2 2 2 3 5" xfId="3506" xr:uid="{37D8891C-4D89-4C33-B423-05B1C528429C}"/>
    <cellStyle name="Normal 4 2 3 2 2 2 2 4" xfId="3507" xr:uid="{7EC6F175-5DB4-480E-983C-F967036EFC33}"/>
    <cellStyle name="Normal 4 2 3 2 2 2 2 4 2" xfId="3508" xr:uid="{E196ED7B-06F6-4EED-A13B-ECB6A69E8A33}"/>
    <cellStyle name="Normal 4 2 3 2 2 2 2 4 3" xfId="3509" xr:uid="{4A9E40AE-2137-4FCC-BA10-557828707B3A}"/>
    <cellStyle name="Normal 4 2 3 2 2 2 2 5" xfId="3510" xr:uid="{242CCAF0-B818-4A88-92AC-3D04B45EEF01}"/>
    <cellStyle name="Normal 4 2 3 2 2 2 2 6" xfId="3511" xr:uid="{00EDE7BD-FE98-4D5B-A810-CBD52BBD00FF}"/>
    <cellStyle name="Normal 4 2 3 2 2 2 2 7" xfId="3512" xr:uid="{C4C25D6D-A724-43AC-B0E2-5ADB4BE06D9D}"/>
    <cellStyle name="Normal 4 2 3 2 2 2 3" xfId="3513" xr:uid="{77D03A0F-E3C3-470D-AA80-54C40C80644F}"/>
    <cellStyle name="Normal 4 2 3 2 2 2 3 2" xfId="3514" xr:uid="{12B4ECCF-B588-4883-9E49-4D2BD9E0CBF8}"/>
    <cellStyle name="Normal 4 2 3 2 2 2 3 2 2" xfId="3515" xr:uid="{75D8FABF-9587-4778-ADA0-31509D617D8D}"/>
    <cellStyle name="Normal 4 2 3 2 2 2 3 2 3" xfId="3516" xr:uid="{896FFFE5-0C06-442F-9F44-81FFBC09601A}"/>
    <cellStyle name="Normal 4 2 3 2 2 2 3 3" xfId="3517" xr:uid="{CDB9B14F-2DC0-40E7-A1E3-A293122DEFD1}"/>
    <cellStyle name="Normal 4 2 3 2 2 2 3 4" xfId="3518" xr:uid="{14376D92-AC56-471F-8577-984CD0D58751}"/>
    <cellStyle name="Normal 4 2 3 2 2 2 3 5" xfId="3519" xr:uid="{8C6F89B4-C747-4FDE-B009-E77F183D1C1E}"/>
    <cellStyle name="Normal 4 2 3 2 2 2 4" xfId="3520" xr:uid="{95364E4C-5FF0-42B8-82C2-E5D0FD7B0038}"/>
    <cellStyle name="Normal 4 2 3 2 2 2 4 2" xfId="3521" xr:uid="{081DC959-EB0F-4BEE-80A2-B03F873C41B8}"/>
    <cellStyle name="Normal 4 2 3 2 2 2 4 2 2" xfId="3522" xr:uid="{4010D21C-8497-423B-8D02-728EE0F28511}"/>
    <cellStyle name="Normal 4 2 3 2 2 2 4 2 3" xfId="3523" xr:uid="{75BBADD0-A142-4684-8474-0AF1D945BE74}"/>
    <cellStyle name="Normal 4 2 3 2 2 2 4 3" xfId="3524" xr:uid="{59EC6727-BE9D-4FA3-907E-C56F8B167DD5}"/>
    <cellStyle name="Normal 4 2 3 2 2 2 4 4" xfId="3525" xr:uid="{ADD405C4-AB41-4A24-8B69-22240A697CE7}"/>
    <cellStyle name="Normal 4 2 3 2 2 2 4 5" xfId="3526" xr:uid="{E93A03FA-DE5B-44E8-8104-BD311C677DC4}"/>
    <cellStyle name="Normal 4 2 3 2 2 2 5" xfId="3527" xr:uid="{94783288-8EC0-4FFC-81B1-A65F8C7C951E}"/>
    <cellStyle name="Normal 4 2 3 2 2 2 5 2" xfId="3528" xr:uid="{123B68DC-92FC-4EE4-AD07-D7F5FD249414}"/>
    <cellStyle name="Normal 4 2 3 2 2 2 5 3" xfId="3529" xr:uid="{7B82A63A-C496-4695-8B98-2FA137B2834A}"/>
    <cellStyle name="Normal 4 2 3 2 2 2 6" xfId="3530" xr:uid="{0E8F1C2A-CF98-4D38-BCEA-038E6C8810D3}"/>
    <cellStyle name="Normal 4 2 3 2 2 2 7" xfId="3531" xr:uid="{C2FE55E2-3A17-4E1A-B061-6E8DDC036D8C}"/>
    <cellStyle name="Normal 4 2 3 2 2 2 8" xfId="3532" xr:uid="{074A9668-171B-492E-A364-DAAD30C5960A}"/>
    <cellStyle name="Normal 4 2 3 2 2 3" xfId="3533" xr:uid="{51C67847-FFED-43A2-BBFC-5CD664F108F8}"/>
    <cellStyle name="Normal 4 2 3 2 2 3 2" xfId="3534" xr:uid="{A4B77DFE-6F3F-4A9B-9566-4FB738136735}"/>
    <cellStyle name="Normal 4 2 3 2 2 3 2 2" xfId="3535" xr:uid="{8E4DA31A-1F11-4823-81D9-D05C29776B8C}"/>
    <cellStyle name="Normal 4 2 3 2 2 3 2 2 2" xfId="3536" xr:uid="{19610DE3-C2C8-42F6-9641-8E07E99894AD}"/>
    <cellStyle name="Normal 4 2 3 2 2 3 2 2 3" xfId="3537" xr:uid="{0470B00C-5242-4555-83DC-75159F9613A4}"/>
    <cellStyle name="Normal 4 2 3 2 2 3 2 3" xfId="3538" xr:uid="{9D701871-D039-48D2-AAE1-ED6260017374}"/>
    <cellStyle name="Normal 4 2 3 2 2 3 2 4" xfId="3539" xr:uid="{E4E54916-3F3A-4026-A2F7-382C5D740414}"/>
    <cellStyle name="Normal 4 2 3 2 2 3 2 5" xfId="3540" xr:uid="{29ACF857-BA8F-4F07-B6B0-CDF1D6A545A9}"/>
    <cellStyle name="Normal 4 2 3 2 2 3 3" xfId="3541" xr:uid="{4FE47E8A-FD43-4815-A874-A6E66079BA61}"/>
    <cellStyle name="Normal 4 2 3 2 2 3 3 2" xfId="3542" xr:uid="{08C54FD0-BA56-4BA0-AE96-F813E033684E}"/>
    <cellStyle name="Normal 4 2 3 2 2 3 3 2 2" xfId="3543" xr:uid="{BD67D8C6-FB5F-4DA0-A511-74316680EC35}"/>
    <cellStyle name="Normal 4 2 3 2 2 3 3 2 3" xfId="3544" xr:uid="{268D3F84-2E72-4389-93F7-C384127BFF97}"/>
    <cellStyle name="Normal 4 2 3 2 2 3 3 3" xfId="3545" xr:uid="{FB34F2EC-3725-4316-943C-E1218AC20C35}"/>
    <cellStyle name="Normal 4 2 3 2 2 3 3 4" xfId="3546" xr:uid="{7B4EA742-2B92-41CB-9845-E75825435A4B}"/>
    <cellStyle name="Normal 4 2 3 2 2 3 3 5" xfId="3547" xr:uid="{9C6D67F2-ECF0-470D-B681-C12B1C1E0ABF}"/>
    <cellStyle name="Normal 4 2 3 2 2 3 4" xfId="3548" xr:uid="{869C3628-283E-47AB-ABA3-81DF3A2E8943}"/>
    <cellStyle name="Normal 4 2 3 2 2 3 4 2" xfId="3549" xr:uid="{44C4C339-5428-43DC-A79A-DED17DDDCCAA}"/>
    <cellStyle name="Normal 4 2 3 2 2 3 4 3" xfId="3550" xr:uid="{D6551F61-59C1-40BA-B105-B26BB66FC713}"/>
    <cellStyle name="Normal 4 2 3 2 2 3 5" xfId="3551" xr:uid="{1C7CAAA3-24D2-47B2-B9F7-3D50C6AAA1B0}"/>
    <cellStyle name="Normal 4 2 3 2 2 3 6" xfId="3552" xr:uid="{4429D738-F7EE-4348-97F1-B2E8E952EC0C}"/>
    <cellStyle name="Normal 4 2 3 2 2 3 7" xfId="3553" xr:uid="{DCF45517-DFDB-40E8-B71A-53CEBF17382B}"/>
    <cellStyle name="Normal 4 2 3 2 2 4" xfId="3554" xr:uid="{2CC2E371-B1CF-4534-ADD8-5B011CA870AA}"/>
    <cellStyle name="Normal 4 2 3 2 2 4 2" xfId="3555" xr:uid="{E22F0E6E-0765-42F5-8682-6D5CF15689CD}"/>
    <cellStyle name="Normal 4 2 3 2 2 4 2 2" xfId="3556" xr:uid="{105D3665-B4E2-4662-A64C-E50726DED643}"/>
    <cellStyle name="Normal 4 2 3 2 2 4 2 3" xfId="3557" xr:uid="{81A3EB5C-9921-445F-AB01-9B466CD4F3D5}"/>
    <cellStyle name="Normal 4 2 3 2 2 4 3" xfId="3558" xr:uid="{B3A2CC28-C11C-4B67-9A58-94A261F56007}"/>
    <cellStyle name="Normal 4 2 3 2 2 4 4" xfId="3559" xr:uid="{A5546F4B-20DB-4843-A756-2DE3917ED843}"/>
    <cellStyle name="Normal 4 2 3 2 2 4 5" xfId="3560" xr:uid="{EB3AAB83-0001-47B1-BACD-B37121E3EE93}"/>
    <cellStyle name="Normal 4 2 3 2 2 5" xfId="3561" xr:uid="{9ECF074C-FF20-4F2C-A768-923D714F4A01}"/>
    <cellStyle name="Normal 4 2 3 2 2 5 2" xfId="3562" xr:uid="{4E882191-0A95-46D0-BDB8-C710A05FA1E2}"/>
    <cellStyle name="Normal 4 2 3 2 2 5 2 2" xfId="3563" xr:uid="{4FF1786F-0CA6-4844-BCBF-EA1308E91984}"/>
    <cellStyle name="Normal 4 2 3 2 2 5 2 3" xfId="3564" xr:uid="{3BB4ABFB-9990-46C3-9AAA-B7A6C9F2DA29}"/>
    <cellStyle name="Normal 4 2 3 2 2 5 3" xfId="3565" xr:uid="{BB0705CE-3712-4E6F-A4C5-B242FF5B6198}"/>
    <cellStyle name="Normal 4 2 3 2 2 5 4" xfId="3566" xr:uid="{7D1CB3F6-A178-465E-8F72-15B30C0A7E88}"/>
    <cellStyle name="Normal 4 2 3 2 2 5 5" xfId="3567" xr:uid="{6BF40048-9A9B-49E1-8983-2A6C6420A6E7}"/>
    <cellStyle name="Normal 4 2 3 2 2 6" xfId="3568" xr:uid="{501FF180-25A5-4AE7-80A3-9486D58C7BDB}"/>
    <cellStyle name="Normal 4 2 3 2 2 6 2" xfId="3569" xr:uid="{67328E7C-7FA0-46E9-8FE1-616A251A3D0C}"/>
    <cellStyle name="Normal 4 2 3 2 2 6 3" xfId="3570" xr:uid="{2EEAA322-280F-43A8-BC76-E4920ED08E1A}"/>
    <cellStyle name="Normal 4 2 3 2 2 7" xfId="3571" xr:uid="{961F7223-75B4-4530-8D33-6034944A80DE}"/>
    <cellStyle name="Normal 4 2 3 2 2 8" xfId="3572" xr:uid="{637F1AEF-0A9E-48FD-B3D2-F4CA54F4FB62}"/>
    <cellStyle name="Normal 4 2 3 2 2 9" xfId="3573" xr:uid="{AE4AB6E4-F5F5-4A6E-AF98-77DBDAF1A5F7}"/>
    <cellStyle name="Normal 4 2 3 2 3" xfId="3574" xr:uid="{EC552C9B-DB60-40DF-9779-5B4F0F70A124}"/>
    <cellStyle name="Normal 4 2 3 2 3 2" xfId="3575" xr:uid="{98565938-C062-4A21-92C7-52CDEC613F2D}"/>
    <cellStyle name="Normal 4 2 3 2 3 2 2" xfId="3576" xr:uid="{37B9DF70-B43C-4ADF-B73A-E7169B3B3768}"/>
    <cellStyle name="Normal 4 2 3 2 3 2 2 2" xfId="3577" xr:uid="{75094E08-2D05-43AF-9825-CF95A668606A}"/>
    <cellStyle name="Normal 4 2 3 2 3 2 2 2 2" xfId="3578" xr:uid="{46887A83-7257-4B99-8866-2F7C4391D2E7}"/>
    <cellStyle name="Normal 4 2 3 2 3 2 2 2 2 2" xfId="3579" xr:uid="{FF869055-6789-4E0C-98DD-AEBE9373537C}"/>
    <cellStyle name="Normal 4 2 3 2 3 2 2 2 2 3" xfId="3580" xr:uid="{73EE8E75-9D22-4750-80B8-000D7B532E3F}"/>
    <cellStyle name="Normal 4 2 3 2 3 2 2 2 3" xfId="3581" xr:uid="{ED0FD5DF-B660-4D35-A7DD-368E726CE312}"/>
    <cellStyle name="Normal 4 2 3 2 3 2 2 2 4" xfId="3582" xr:uid="{6C9B5534-EEAE-4575-A313-C634A0E2608E}"/>
    <cellStyle name="Normal 4 2 3 2 3 2 2 2 5" xfId="3583" xr:uid="{6A42DB01-86C2-46EC-B847-5F1F853980AD}"/>
    <cellStyle name="Normal 4 2 3 2 3 2 2 3" xfId="3584" xr:uid="{69C67F81-C03A-441B-8270-0287E206F02C}"/>
    <cellStyle name="Normal 4 2 3 2 3 2 2 3 2" xfId="3585" xr:uid="{6D51402E-3F95-4633-805D-319AC1350AB4}"/>
    <cellStyle name="Normal 4 2 3 2 3 2 2 3 2 2" xfId="3586" xr:uid="{4C220851-FA78-4AB2-8D6D-2B396DBFDD75}"/>
    <cellStyle name="Normal 4 2 3 2 3 2 2 3 2 3" xfId="3587" xr:uid="{402E4C93-3B28-4714-A4DD-F4E6B5D0AFD5}"/>
    <cellStyle name="Normal 4 2 3 2 3 2 2 3 3" xfId="3588" xr:uid="{ECEF9C51-246D-479F-A02B-63B8AABDA640}"/>
    <cellStyle name="Normal 4 2 3 2 3 2 2 3 4" xfId="3589" xr:uid="{3B18671A-E697-4338-A40B-129540ADE618}"/>
    <cellStyle name="Normal 4 2 3 2 3 2 2 3 5" xfId="3590" xr:uid="{28E23F1F-D80B-4A5F-9A65-246AFDEE4E7B}"/>
    <cellStyle name="Normal 4 2 3 2 3 2 2 4" xfId="3591" xr:uid="{8800E787-2966-423C-B829-0F43B1A5525B}"/>
    <cellStyle name="Normal 4 2 3 2 3 2 2 4 2" xfId="3592" xr:uid="{2BFCAB83-FCD0-4486-8931-D1ACCBCE16BD}"/>
    <cellStyle name="Normal 4 2 3 2 3 2 2 4 3" xfId="3593" xr:uid="{05BC0EDD-3303-4DDE-9A14-F191E69BC6BB}"/>
    <cellStyle name="Normal 4 2 3 2 3 2 2 5" xfId="3594" xr:uid="{8B77C33F-E836-48F2-AE28-62E2BD89C6BD}"/>
    <cellStyle name="Normal 4 2 3 2 3 2 2 6" xfId="3595" xr:uid="{820EBF6E-AB1D-43F8-BEAE-AD1924D4E614}"/>
    <cellStyle name="Normal 4 2 3 2 3 2 2 7" xfId="3596" xr:uid="{AE316EE7-5307-452B-BF46-BC77E98CCCB3}"/>
    <cellStyle name="Normal 4 2 3 2 3 2 3" xfId="3597" xr:uid="{109D9A3E-47E2-4FDD-9A10-E576488535DC}"/>
    <cellStyle name="Normal 4 2 3 2 3 2 3 2" xfId="3598" xr:uid="{D93CF565-69AC-4B63-BCB6-C5F24638B7E5}"/>
    <cellStyle name="Normal 4 2 3 2 3 2 3 2 2" xfId="3599" xr:uid="{50EA9249-3B7A-4C7B-9D0E-04871BC5C8CE}"/>
    <cellStyle name="Normal 4 2 3 2 3 2 3 2 3" xfId="3600" xr:uid="{BE724C3C-B476-427E-AC15-02E50085D83F}"/>
    <cellStyle name="Normal 4 2 3 2 3 2 3 3" xfId="3601" xr:uid="{4C08E62E-5673-4821-8B9D-B09A9364F8C4}"/>
    <cellStyle name="Normal 4 2 3 2 3 2 3 4" xfId="3602" xr:uid="{09B7BCD5-D3DC-4FCD-AD4F-EBE747A9CADC}"/>
    <cellStyle name="Normal 4 2 3 2 3 2 3 5" xfId="3603" xr:uid="{6571DE2C-28A4-4A59-AD30-4EC42AC3A0DE}"/>
    <cellStyle name="Normal 4 2 3 2 3 2 4" xfId="3604" xr:uid="{0E4AA24D-C68B-4B1C-BE19-6778374043A5}"/>
    <cellStyle name="Normal 4 2 3 2 3 2 4 2" xfId="3605" xr:uid="{FC6AE5AE-019F-4443-A569-C0ED76C51187}"/>
    <cellStyle name="Normal 4 2 3 2 3 2 4 2 2" xfId="3606" xr:uid="{A2132BA3-EE62-4A11-967A-F9E9316D4279}"/>
    <cellStyle name="Normal 4 2 3 2 3 2 4 2 3" xfId="3607" xr:uid="{22E10350-668B-4B23-A37F-B3DBC1C355BB}"/>
    <cellStyle name="Normal 4 2 3 2 3 2 4 3" xfId="3608" xr:uid="{E69F513B-CD48-484A-85AF-30A9691FE4C0}"/>
    <cellStyle name="Normal 4 2 3 2 3 2 4 4" xfId="3609" xr:uid="{B6C6DC8F-A9DC-45D6-B4D3-0EFF9BE3A32B}"/>
    <cellStyle name="Normal 4 2 3 2 3 2 4 5" xfId="3610" xr:uid="{62D3ACEF-2A5C-479E-B453-022F7D745D55}"/>
    <cellStyle name="Normal 4 2 3 2 3 2 5" xfId="3611" xr:uid="{C0CFF314-E56D-4419-BE27-34E5FCC26DA8}"/>
    <cellStyle name="Normal 4 2 3 2 3 2 5 2" xfId="3612" xr:uid="{1B68EEE3-A84F-4EBA-885C-66A58C4A1A77}"/>
    <cellStyle name="Normal 4 2 3 2 3 2 5 3" xfId="3613" xr:uid="{B0980DB8-A197-45DB-B8A1-57E685648EDD}"/>
    <cellStyle name="Normal 4 2 3 2 3 2 6" xfId="3614" xr:uid="{8CD774CF-F12E-468A-82BC-2545D11ED4B6}"/>
    <cellStyle name="Normal 4 2 3 2 3 2 7" xfId="3615" xr:uid="{667769F5-47FC-46DB-95CC-5BAAC677F532}"/>
    <cellStyle name="Normal 4 2 3 2 3 2 8" xfId="3616" xr:uid="{CAD0C4DF-4057-4B04-8BF5-42692D971484}"/>
    <cellStyle name="Normal 4 2 3 2 3 3" xfId="3617" xr:uid="{F045690D-459A-4B15-92ED-CBB7B6C75C57}"/>
    <cellStyle name="Normal 4 2 3 2 3 3 2" xfId="3618" xr:uid="{A6830A47-B27F-46D3-8F33-5F011394E6D0}"/>
    <cellStyle name="Normal 4 2 3 2 3 3 2 2" xfId="3619" xr:uid="{22AE72B1-1A04-41C7-A821-D40565E3399B}"/>
    <cellStyle name="Normal 4 2 3 2 3 3 2 2 2" xfId="3620" xr:uid="{FC3D5CF4-1504-4DB1-8290-9DDCCC00D377}"/>
    <cellStyle name="Normal 4 2 3 2 3 3 2 2 3" xfId="3621" xr:uid="{F52CD05C-9BC6-498F-978D-FB06BBDB22D1}"/>
    <cellStyle name="Normal 4 2 3 2 3 3 2 3" xfId="3622" xr:uid="{E57B2DA0-C3C7-49E5-A4C2-6A595174796A}"/>
    <cellStyle name="Normal 4 2 3 2 3 3 2 4" xfId="3623" xr:uid="{01F2E2CA-09BB-433A-B4E6-242590A19D06}"/>
    <cellStyle name="Normal 4 2 3 2 3 3 2 5" xfId="3624" xr:uid="{011E0690-0F82-4BDD-999A-7B21194B93BE}"/>
    <cellStyle name="Normal 4 2 3 2 3 3 3" xfId="3625" xr:uid="{CDEEEE03-AEB0-45B1-81AC-061DCB15B213}"/>
    <cellStyle name="Normal 4 2 3 2 3 3 3 2" xfId="3626" xr:uid="{261A2342-FD02-42AC-B0C4-491D6F290B69}"/>
    <cellStyle name="Normal 4 2 3 2 3 3 3 2 2" xfId="3627" xr:uid="{44D36747-E74C-4D3A-8548-4B6E39277337}"/>
    <cellStyle name="Normal 4 2 3 2 3 3 3 2 3" xfId="3628" xr:uid="{01D91FC4-4107-43B9-89C5-5CA037BCEFFB}"/>
    <cellStyle name="Normal 4 2 3 2 3 3 3 3" xfId="3629" xr:uid="{ED55A668-872C-4A4C-A154-A1E427494864}"/>
    <cellStyle name="Normal 4 2 3 2 3 3 3 4" xfId="3630" xr:uid="{D13CF458-B7ED-45BB-9644-B3620697D6A2}"/>
    <cellStyle name="Normal 4 2 3 2 3 3 3 5" xfId="3631" xr:uid="{D5E679E6-E703-4BF2-8DD0-5053BE846EA1}"/>
    <cellStyle name="Normal 4 2 3 2 3 3 4" xfId="3632" xr:uid="{56AF9B65-D3AF-4C6C-B4C6-89292970D2C8}"/>
    <cellStyle name="Normal 4 2 3 2 3 3 4 2" xfId="3633" xr:uid="{FFEA7DC1-739D-4F71-94FB-00D94D4E81D0}"/>
    <cellStyle name="Normal 4 2 3 2 3 3 4 3" xfId="3634" xr:uid="{C526A26D-A938-4655-B013-F2B7CD5879C0}"/>
    <cellStyle name="Normal 4 2 3 2 3 3 5" xfId="3635" xr:uid="{564E1B4E-1E40-4873-A30C-FD7661022FFD}"/>
    <cellStyle name="Normal 4 2 3 2 3 3 6" xfId="3636" xr:uid="{C025AE2B-D325-415F-9B7B-DF4E7D5983A5}"/>
    <cellStyle name="Normal 4 2 3 2 3 3 7" xfId="3637" xr:uid="{3763BD7C-6611-480F-A7A4-EC37D024A425}"/>
    <cellStyle name="Normal 4 2 3 2 3 4" xfId="3638" xr:uid="{6EFB4EE0-037B-4470-AE41-7EF77C0C6C11}"/>
    <cellStyle name="Normal 4 2 3 2 3 4 2" xfId="3639" xr:uid="{1773C468-9AD1-4436-82FA-177914946186}"/>
    <cellStyle name="Normal 4 2 3 2 3 4 2 2" xfId="3640" xr:uid="{8917A881-B504-4974-A860-D763314416F0}"/>
    <cellStyle name="Normal 4 2 3 2 3 4 2 3" xfId="3641" xr:uid="{7E5A829E-7F3C-4DF5-8872-9D658148B13F}"/>
    <cellStyle name="Normal 4 2 3 2 3 4 3" xfId="3642" xr:uid="{A79BDC3C-6AA3-4DD5-A210-B56609088795}"/>
    <cellStyle name="Normal 4 2 3 2 3 4 4" xfId="3643" xr:uid="{F825BB7B-75C4-4AC9-8F12-2CAB797A23AE}"/>
    <cellStyle name="Normal 4 2 3 2 3 4 5" xfId="3644" xr:uid="{829C5608-AC95-4486-AEBD-880E1B0E913C}"/>
    <cellStyle name="Normal 4 2 3 2 3 5" xfId="3645" xr:uid="{840F9529-0AD1-4DCA-B7F0-E1F6E43B9CC7}"/>
    <cellStyle name="Normal 4 2 3 2 3 5 2" xfId="3646" xr:uid="{FEF5099C-2348-4C01-BBCF-195D9AD0701A}"/>
    <cellStyle name="Normal 4 2 3 2 3 5 2 2" xfId="3647" xr:uid="{3A7738E9-398A-478A-B580-5615C7DE30F5}"/>
    <cellStyle name="Normal 4 2 3 2 3 5 2 3" xfId="3648" xr:uid="{E4FF2378-BBA8-4DE6-821F-D129BD39EDAD}"/>
    <cellStyle name="Normal 4 2 3 2 3 5 3" xfId="3649" xr:uid="{F1D32A7F-B725-4B43-BFD0-52AF8F11DF36}"/>
    <cellStyle name="Normal 4 2 3 2 3 5 4" xfId="3650" xr:uid="{598E95A9-533C-45C1-A5E2-6F4FA8B91F28}"/>
    <cellStyle name="Normal 4 2 3 2 3 5 5" xfId="3651" xr:uid="{127FBA42-AE84-48B2-9829-932108A005D6}"/>
    <cellStyle name="Normal 4 2 3 2 3 6" xfId="3652" xr:uid="{5678D47B-6CE8-4F81-9372-F7F8D7C7CE98}"/>
    <cellStyle name="Normal 4 2 3 2 3 6 2" xfId="3653" xr:uid="{A5912B40-B2CE-45AE-B363-219352286E04}"/>
    <cellStyle name="Normal 4 2 3 2 3 6 3" xfId="3654" xr:uid="{7ED2AD13-B02A-42F9-B0DD-0EFC51F3118D}"/>
    <cellStyle name="Normal 4 2 3 2 3 7" xfId="3655" xr:uid="{AE8544A6-6435-43D6-83F5-FDA39DF04EF3}"/>
    <cellStyle name="Normal 4 2 3 2 3 8" xfId="3656" xr:uid="{47AFDB92-D2FB-4544-9BB7-02C7A3FF2B0A}"/>
    <cellStyle name="Normal 4 2 3 2 3 9" xfId="3657" xr:uid="{E7984AA1-410F-4E2D-BEAB-048AACC4CA03}"/>
    <cellStyle name="Normal 4 2 3 2 4" xfId="3658" xr:uid="{E1F9AFF2-1987-4876-B256-6422B4EF9D40}"/>
    <cellStyle name="Normal 4 2 3 2 4 2" xfId="3659" xr:uid="{8B24F583-8CC3-4C1A-9D92-85A8A40A49B4}"/>
    <cellStyle name="Normal 4 2 3 2 4 2 2" xfId="3660" xr:uid="{EFD81825-2EBA-4EF3-A6FE-8C78DE0E497C}"/>
    <cellStyle name="Normal 4 2 3 2 4 2 2 2" xfId="3661" xr:uid="{7C94476C-C329-44FB-84E4-C4A0DCA84C5D}"/>
    <cellStyle name="Normal 4 2 3 2 4 2 2 2 2" xfId="3662" xr:uid="{F55D2747-5478-4323-ABE6-A1983D19ED60}"/>
    <cellStyle name="Normal 4 2 3 2 4 2 2 2 2 2" xfId="3663" xr:uid="{2BFFF437-26BA-4116-823D-2116730ECD44}"/>
    <cellStyle name="Normal 4 2 3 2 4 2 2 2 2 3" xfId="3664" xr:uid="{09181BE1-9595-47F5-9EB0-A89C928FC58A}"/>
    <cellStyle name="Normal 4 2 3 2 4 2 2 2 3" xfId="3665" xr:uid="{D3FF5C98-60BC-4108-9BEE-17A7ACECE886}"/>
    <cellStyle name="Normal 4 2 3 2 4 2 2 2 4" xfId="3666" xr:uid="{DD2A5C81-5871-4349-A6A4-7D54A0DDEE3B}"/>
    <cellStyle name="Normal 4 2 3 2 4 2 2 2 5" xfId="3667" xr:uid="{111D8723-7A7A-472A-80F3-23AD8599292C}"/>
    <cellStyle name="Normal 4 2 3 2 4 2 2 3" xfId="3668" xr:uid="{88400A30-383B-467E-883C-402D25C228F7}"/>
    <cellStyle name="Normal 4 2 3 2 4 2 2 3 2" xfId="3669" xr:uid="{5629F5D5-25ED-471E-9178-D1E30FC95DC5}"/>
    <cellStyle name="Normal 4 2 3 2 4 2 2 3 2 2" xfId="3670" xr:uid="{F2556541-F789-464B-87F1-0BC9DF40411B}"/>
    <cellStyle name="Normal 4 2 3 2 4 2 2 3 2 3" xfId="3671" xr:uid="{EA46F190-61ED-4119-BC95-B2E8B1EF4867}"/>
    <cellStyle name="Normal 4 2 3 2 4 2 2 3 3" xfId="3672" xr:uid="{0D4AF441-82D2-4EE7-89D9-D4D50E514EBF}"/>
    <cellStyle name="Normal 4 2 3 2 4 2 2 3 4" xfId="3673" xr:uid="{3490410A-362D-4CAB-93F8-55BB3A1A5769}"/>
    <cellStyle name="Normal 4 2 3 2 4 2 2 3 5" xfId="3674" xr:uid="{AB16C3E5-EEB1-4CD1-BE06-72312AB58865}"/>
    <cellStyle name="Normal 4 2 3 2 4 2 2 4" xfId="3675" xr:uid="{17D5B0F3-36B5-42F0-A590-7E89D8685455}"/>
    <cellStyle name="Normal 4 2 3 2 4 2 2 4 2" xfId="3676" xr:uid="{DE1744EC-0EFD-4434-97D8-27DA4B9CB219}"/>
    <cellStyle name="Normal 4 2 3 2 4 2 2 4 3" xfId="3677" xr:uid="{C106AB3E-78F3-4E6D-85B6-CA24813954F1}"/>
    <cellStyle name="Normal 4 2 3 2 4 2 2 5" xfId="3678" xr:uid="{04E4610E-FA8D-4C42-806E-FB3AD0C5B7C1}"/>
    <cellStyle name="Normal 4 2 3 2 4 2 2 6" xfId="3679" xr:uid="{6BF13506-C002-4018-87F5-466F6F4C5629}"/>
    <cellStyle name="Normal 4 2 3 2 4 2 2 7" xfId="3680" xr:uid="{C900DACB-B37F-4D64-A172-880ED8CAA1D4}"/>
    <cellStyle name="Normal 4 2 3 2 4 2 3" xfId="3681" xr:uid="{ABB52BBE-DACF-442B-A154-A3C432B9702B}"/>
    <cellStyle name="Normal 4 2 3 2 4 2 3 2" xfId="3682" xr:uid="{5E10C716-FE27-4861-AA5C-E6101E58BD03}"/>
    <cellStyle name="Normal 4 2 3 2 4 2 3 2 2" xfId="3683" xr:uid="{6C39FF32-70A0-4538-929E-CB0265B53BF2}"/>
    <cellStyle name="Normal 4 2 3 2 4 2 3 2 3" xfId="3684" xr:uid="{C4BF25FF-53D9-472F-9B49-6AA199CFB2E8}"/>
    <cellStyle name="Normal 4 2 3 2 4 2 3 3" xfId="3685" xr:uid="{608CD416-EBA5-40F0-B513-9F7B26846BC1}"/>
    <cellStyle name="Normal 4 2 3 2 4 2 3 4" xfId="3686" xr:uid="{E70BC899-A66D-4BCB-8805-92B7660AB78A}"/>
    <cellStyle name="Normal 4 2 3 2 4 2 3 5" xfId="3687" xr:uid="{84AE3953-D02A-4E85-A6E0-9BE58D74FA8B}"/>
    <cellStyle name="Normal 4 2 3 2 4 2 4" xfId="3688" xr:uid="{9CC7EBB3-D49B-4EA6-9078-694B28DC0145}"/>
    <cellStyle name="Normal 4 2 3 2 4 2 4 2" xfId="3689" xr:uid="{0F760F23-9EFB-4FC6-A481-1FCAAEE455AF}"/>
    <cellStyle name="Normal 4 2 3 2 4 2 4 2 2" xfId="3690" xr:uid="{13AA5684-3E35-4055-AF2D-13288F3B08AA}"/>
    <cellStyle name="Normal 4 2 3 2 4 2 4 2 3" xfId="3691" xr:uid="{6F376559-318D-4AB5-89A8-A958B54FAFDD}"/>
    <cellStyle name="Normal 4 2 3 2 4 2 4 3" xfId="3692" xr:uid="{7B83394E-0A52-44B1-9B90-21F87ED5948E}"/>
    <cellStyle name="Normal 4 2 3 2 4 2 4 4" xfId="3693" xr:uid="{CB553031-12A8-4417-A968-9629FE8F22EB}"/>
    <cellStyle name="Normal 4 2 3 2 4 2 4 5" xfId="3694" xr:uid="{3ACBA129-27D8-4027-A9B0-F74F05F3908D}"/>
    <cellStyle name="Normal 4 2 3 2 4 2 5" xfId="3695" xr:uid="{DBC8C341-35C6-4A74-BD1B-78A47C3C72C8}"/>
    <cellStyle name="Normal 4 2 3 2 4 2 5 2" xfId="3696" xr:uid="{84498F3C-E026-4B43-B73A-BC6D658CB1CE}"/>
    <cellStyle name="Normal 4 2 3 2 4 2 5 3" xfId="3697" xr:uid="{7B4A130D-7659-4653-8FB5-5055BDA56D46}"/>
    <cellStyle name="Normal 4 2 3 2 4 2 6" xfId="3698" xr:uid="{0BFEFFB4-1AA1-4A84-AD1D-3711111DD7EC}"/>
    <cellStyle name="Normal 4 2 3 2 4 2 7" xfId="3699" xr:uid="{854948CE-6028-4624-BEDF-309BBE4BF1D9}"/>
    <cellStyle name="Normal 4 2 3 2 4 2 8" xfId="3700" xr:uid="{73DD0F1F-5021-4F89-832A-C4014E23D632}"/>
    <cellStyle name="Normal 4 2 3 2 4 3" xfId="3701" xr:uid="{40D89018-C65E-441E-92CE-328BD388F1DE}"/>
    <cellStyle name="Normal 4 2 3 2 4 3 2" xfId="3702" xr:uid="{01EDD19D-5BCF-437A-9763-FFF9177DB690}"/>
    <cellStyle name="Normal 4 2 3 2 4 3 2 2" xfId="3703" xr:uid="{D1B2737E-5E98-4AC5-B5A4-E687C33881B3}"/>
    <cellStyle name="Normal 4 2 3 2 4 3 2 2 2" xfId="3704" xr:uid="{6BA9A52C-F518-4D1A-822A-F5C8B8ECBF7C}"/>
    <cellStyle name="Normal 4 2 3 2 4 3 2 2 3" xfId="3705" xr:uid="{A8D76ACA-551B-4F2C-929B-04471CCDF583}"/>
    <cellStyle name="Normal 4 2 3 2 4 3 2 3" xfId="3706" xr:uid="{B1ED478A-9D57-47A6-8A25-21453352AA1B}"/>
    <cellStyle name="Normal 4 2 3 2 4 3 2 4" xfId="3707" xr:uid="{91636427-941C-4086-A5B0-A2FD67CA9815}"/>
    <cellStyle name="Normal 4 2 3 2 4 3 2 5" xfId="3708" xr:uid="{FA075575-5349-41A2-A0B6-22BA56B4C284}"/>
    <cellStyle name="Normal 4 2 3 2 4 3 3" xfId="3709" xr:uid="{BF932D01-A2F3-426D-B2DD-D5EB38D7EE4E}"/>
    <cellStyle name="Normal 4 2 3 2 4 3 3 2" xfId="3710" xr:uid="{43E311EC-099C-459A-832B-66262C4642B7}"/>
    <cellStyle name="Normal 4 2 3 2 4 3 3 2 2" xfId="3711" xr:uid="{550D1495-27C4-4C30-8F36-2BB11E6D805E}"/>
    <cellStyle name="Normal 4 2 3 2 4 3 3 2 3" xfId="3712" xr:uid="{53EC5475-CD69-4FF2-9819-24716A76D052}"/>
    <cellStyle name="Normal 4 2 3 2 4 3 3 3" xfId="3713" xr:uid="{B257D008-C0BA-4AD1-BB8B-B0210E72AB7F}"/>
    <cellStyle name="Normal 4 2 3 2 4 3 3 4" xfId="3714" xr:uid="{31305DF2-2169-43B9-BDAF-EC3C014073AC}"/>
    <cellStyle name="Normal 4 2 3 2 4 3 3 5" xfId="3715" xr:uid="{324713A9-C272-4A17-B776-F04FAA4A26A8}"/>
    <cellStyle name="Normal 4 2 3 2 4 3 4" xfId="3716" xr:uid="{76C29125-2CB9-40A6-BADC-949DF092F0EB}"/>
    <cellStyle name="Normal 4 2 3 2 4 3 4 2" xfId="3717" xr:uid="{C72DAA76-6BE0-460B-A8C0-804434459FBB}"/>
    <cellStyle name="Normal 4 2 3 2 4 3 4 3" xfId="3718" xr:uid="{B1D6EF9B-5809-446E-867D-DBA3124DCFAD}"/>
    <cellStyle name="Normal 4 2 3 2 4 3 5" xfId="3719" xr:uid="{1A4F1160-0A2F-451B-A364-C9FD71141B11}"/>
    <cellStyle name="Normal 4 2 3 2 4 3 6" xfId="3720" xr:uid="{C774D90D-302E-4DA0-ADEC-ABE0C4E466B3}"/>
    <cellStyle name="Normal 4 2 3 2 4 3 7" xfId="3721" xr:uid="{67C9FF77-4BA0-432E-AC85-82F52792255C}"/>
    <cellStyle name="Normal 4 2 3 2 4 4" xfId="3722" xr:uid="{8F66019B-415D-454F-8100-DD47B796A388}"/>
    <cellStyle name="Normal 4 2 3 2 4 4 2" xfId="3723" xr:uid="{5A7953EE-638A-4BFC-8D03-616FFD81ED19}"/>
    <cellStyle name="Normal 4 2 3 2 4 4 2 2" xfId="3724" xr:uid="{DB7972AF-7E6B-4367-9A54-F9E88F6AB829}"/>
    <cellStyle name="Normal 4 2 3 2 4 4 2 3" xfId="3725" xr:uid="{0DDBD64A-9694-4E6B-AEAD-DF22A28DC628}"/>
    <cellStyle name="Normal 4 2 3 2 4 4 3" xfId="3726" xr:uid="{871805E2-1F27-4269-9910-00E8F5396762}"/>
    <cellStyle name="Normal 4 2 3 2 4 4 4" xfId="3727" xr:uid="{5C9C784C-01DE-4BA0-92C7-67CA0A9B75C9}"/>
    <cellStyle name="Normal 4 2 3 2 4 4 5" xfId="3728" xr:uid="{3614B3BC-851F-4267-A20C-E1FB0407BFA2}"/>
    <cellStyle name="Normal 4 2 3 2 4 5" xfId="3729" xr:uid="{E8209746-3A86-4A10-86C8-7E31D2A28913}"/>
    <cellStyle name="Normal 4 2 3 2 4 5 2" xfId="3730" xr:uid="{2E1291AA-59B8-41C4-BCDE-70B4DC261532}"/>
    <cellStyle name="Normal 4 2 3 2 4 5 2 2" xfId="3731" xr:uid="{89ECEBF4-16EF-4F17-A345-E592B962B3AB}"/>
    <cellStyle name="Normal 4 2 3 2 4 5 2 3" xfId="3732" xr:uid="{B49D75DE-41C2-4708-998C-1C175D588748}"/>
    <cellStyle name="Normal 4 2 3 2 4 5 3" xfId="3733" xr:uid="{F7568B79-CB54-42C8-9310-541E046A7E36}"/>
    <cellStyle name="Normal 4 2 3 2 4 5 4" xfId="3734" xr:uid="{47F1B730-52AD-4815-A2B5-02C3328DA269}"/>
    <cellStyle name="Normal 4 2 3 2 4 5 5" xfId="3735" xr:uid="{5C927331-BED9-4ACB-A462-B467EA6026DC}"/>
    <cellStyle name="Normal 4 2 3 2 4 6" xfId="3736" xr:uid="{76D9102D-1BB1-4EFC-BC08-4DCA4C99F864}"/>
    <cellStyle name="Normal 4 2 3 2 4 6 2" xfId="3737" xr:uid="{66B58EDA-FB34-4D07-870F-A7B43A436C98}"/>
    <cellStyle name="Normal 4 2 3 2 4 6 3" xfId="3738" xr:uid="{BC9B07FC-87AF-4779-86EA-49D3EC2192C8}"/>
    <cellStyle name="Normal 4 2 3 2 4 7" xfId="3739" xr:uid="{35064536-21DE-4427-926C-A5DFE54DCAD1}"/>
    <cellStyle name="Normal 4 2 3 2 4 8" xfId="3740" xr:uid="{1B7ADEA9-A869-4447-A17A-AB965E1FA804}"/>
    <cellStyle name="Normal 4 2 3 2 4 9" xfId="3741" xr:uid="{8BB7640B-D985-4997-91B5-3293E9ADAD23}"/>
    <cellStyle name="Normal 4 2 3 2 5" xfId="3742" xr:uid="{181407D8-0157-4442-AB88-9B85A4B32DDD}"/>
    <cellStyle name="Normal 4 2 3 2 5 2" xfId="3743" xr:uid="{4176DB1F-CEF3-4B8D-9A7D-CDF40F59ECAF}"/>
    <cellStyle name="Normal 4 2 3 2 5 2 2" xfId="3744" xr:uid="{DDD3BFA1-1239-49EC-A040-A225086E8298}"/>
    <cellStyle name="Normal 4 2 3 2 5 2 2 2" xfId="3745" xr:uid="{F943D3C7-57E7-4668-BAE0-DA69CD4AFADF}"/>
    <cellStyle name="Normal 4 2 3 2 5 2 2 2 2" xfId="3746" xr:uid="{A34AA75F-8B56-4700-9D6C-A296863B84D8}"/>
    <cellStyle name="Normal 4 2 3 2 5 2 2 2 3" xfId="3747" xr:uid="{0E1A9B9D-2CA2-496E-BDA7-3BE9E93F31B8}"/>
    <cellStyle name="Normal 4 2 3 2 5 2 2 3" xfId="3748" xr:uid="{D70463BF-7130-4D63-8153-5BA271E6656D}"/>
    <cellStyle name="Normal 4 2 3 2 5 2 2 4" xfId="3749" xr:uid="{7F0457E4-756C-452C-85B7-88B63A10BF11}"/>
    <cellStyle name="Normal 4 2 3 2 5 2 2 5" xfId="3750" xr:uid="{5953B2F4-2C58-488E-8F98-4E182331056B}"/>
    <cellStyle name="Normal 4 2 3 2 5 2 3" xfId="3751" xr:uid="{B7A74CC9-2C3A-40A2-9A6C-0E22887C4433}"/>
    <cellStyle name="Normal 4 2 3 2 5 2 3 2" xfId="3752" xr:uid="{223473AB-C8DE-4772-B7C4-45373CF53B03}"/>
    <cellStyle name="Normal 4 2 3 2 5 2 3 2 2" xfId="3753" xr:uid="{8B9946B0-34B5-4F66-A424-624612E9D28D}"/>
    <cellStyle name="Normal 4 2 3 2 5 2 3 2 3" xfId="3754" xr:uid="{97C8C56B-2FE2-4AE7-95A6-0F5B476B2E35}"/>
    <cellStyle name="Normal 4 2 3 2 5 2 3 3" xfId="3755" xr:uid="{140CB8A6-364A-424E-9F65-5C0308195D08}"/>
    <cellStyle name="Normal 4 2 3 2 5 2 3 4" xfId="3756" xr:uid="{F1F9E963-58E0-47C7-91E2-61C532076CF5}"/>
    <cellStyle name="Normal 4 2 3 2 5 2 3 5" xfId="3757" xr:uid="{D07B9280-7C3F-4623-8C8B-C91AE7B9D25D}"/>
    <cellStyle name="Normal 4 2 3 2 5 2 4" xfId="3758" xr:uid="{70D41B8D-95D6-4C2A-BD96-F838A78E4B94}"/>
    <cellStyle name="Normal 4 2 3 2 5 2 4 2" xfId="3759" xr:uid="{C6A9DE56-B15A-404B-BB3F-7E076BC3322D}"/>
    <cellStyle name="Normal 4 2 3 2 5 2 4 3" xfId="3760" xr:uid="{E756801B-5AF1-459C-91FD-D917CD3126D9}"/>
    <cellStyle name="Normal 4 2 3 2 5 2 5" xfId="3761" xr:uid="{56EB19F5-59E9-4525-91C8-F8E50293F6DD}"/>
    <cellStyle name="Normal 4 2 3 2 5 2 6" xfId="3762" xr:uid="{2884401A-6D8C-4022-8187-EA21DFAEDC56}"/>
    <cellStyle name="Normal 4 2 3 2 5 2 7" xfId="3763" xr:uid="{7CE412CE-FD53-4ADF-8259-E4A70AB08EF7}"/>
    <cellStyle name="Normal 4 2 3 2 5 3" xfId="3764" xr:uid="{D8218DDB-C1D8-49EF-8AC6-AE27C1E76E69}"/>
    <cellStyle name="Normal 4 2 3 2 5 3 2" xfId="3765" xr:uid="{32E08B78-D69E-43B4-A16C-07A5BFF1B94C}"/>
    <cellStyle name="Normal 4 2 3 2 5 3 2 2" xfId="3766" xr:uid="{607A0BEE-F0A9-40E8-9E2A-167F479C4A82}"/>
    <cellStyle name="Normal 4 2 3 2 5 3 2 3" xfId="3767" xr:uid="{FF9B0F60-5A86-40C9-9199-2B674078B418}"/>
    <cellStyle name="Normal 4 2 3 2 5 3 3" xfId="3768" xr:uid="{0411CBA3-328D-42CD-B0CC-68C6A0FE4061}"/>
    <cellStyle name="Normal 4 2 3 2 5 3 4" xfId="3769" xr:uid="{92F1E346-7219-46B8-AF29-BF5A75B788AD}"/>
    <cellStyle name="Normal 4 2 3 2 5 3 5" xfId="3770" xr:uid="{D3DA13B0-E6FB-4E3D-91BA-25C880BFBBCC}"/>
    <cellStyle name="Normal 4 2 3 2 5 4" xfId="3771" xr:uid="{A23ADBE4-CFCE-44CF-9DCF-C0636BD46E27}"/>
    <cellStyle name="Normal 4 2 3 2 5 4 2" xfId="3772" xr:uid="{5CC9CF78-DDC1-40F5-B686-AE5AB0BB1F4B}"/>
    <cellStyle name="Normal 4 2 3 2 5 4 2 2" xfId="3773" xr:uid="{A2D62237-AC9F-4522-AFC0-19DD2844F21D}"/>
    <cellStyle name="Normal 4 2 3 2 5 4 2 3" xfId="3774" xr:uid="{4F948EF9-4DC7-46AE-A3A6-AD052F3FFE1F}"/>
    <cellStyle name="Normal 4 2 3 2 5 4 3" xfId="3775" xr:uid="{1D6695EB-FC6F-4700-98AC-1761B72BD2C8}"/>
    <cellStyle name="Normal 4 2 3 2 5 4 4" xfId="3776" xr:uid="{362E3BC1-C2A7-45C4-B42B-04C1E9A66BA1}"/>
    <cellStyle name="Normal 4 2 3 2 5 4 5" xfId="3777" xr:uid="{FD4AFE25-B615-47DC-A7A7-7B9300015C7F}"/>
    <cellStyle name="Normal 4 2 3 2 5 5" xfId="3778" xr:uid="{0FF24047-30F4-44A1-B408-F76CCDC2B304}"/>
    <cellStyle name="Normal 4 2 3 2 5 5 2" xfId="3779" xr:uid="{4BAAD427-000A-4AA2-A4CF-BB3277D3F117}"/>
    <cellStyle name="Normal 4 2 3 2 5 5 3" xfId="3780" xr:uid="{C51A4392-800C-4900-A8F5-466308E27146}"/>
    <cellStyle name="Normal 4 2 3 2 5 6" xfId="3781" xr:uid="{C7351B6E-DCCC-429C-9B23-1C5A3C7DC23E}"/>
    <cellStyle name="Normal 4 2 3 2 5 7" xfId="3782" xr:uid="{94D8FFC6-9B78-4826-9AED-EE3055716B43}"/>
    <cellStyle name="Normal 4 2 3 2 5 8" xfId="3783" xr:uid="{7BB666F3-AE1D-46F0-9725-4AD3FD513F70}"/>
    <cellStyle name="Normal 4 2 3 2 6" xfId="3784" xr:uid="{26232B90-18ED-4307-B69E-FAAEE6F5F787}"/>
    <cellStyle name="Normal 4 2 3 2 6 2" xfId="3785" xr:uid="{B24E25F3-FD80-412A-9CD4-9C7993091815}"/>
    <cellStyle name="Normal 4 2 3 2 6 2 2" xfId="3786" xr:uid="{430D5B75-654D-4510-9940-92CBF003CF55}"/>
    <cellStyle name="Normal 4 2 3 2 6 2 2 2" xfId="3787" xr:uid="{9329952C-7201-41FE-A33F-B6A3A2462618}"/>
    <cellStyle name="Normal 4 2 3 2 6 2 2 3" xfId="3788" xr:uid="{464D2C52-12DD-4420-81C6-4A584F320CFD}"/>
    <cellStyle name="Normal 4 2 3 2 6 2 3" xfId="3789" xr:uid="{6D350940-F78B-4E25-A020-F8B52AAA7E36}"/>
    <cellStyle name="Normal 4 2 3 2 6 2 4" xfId="3790" xr:uid="{0B37D219-5DAB-4F1F-A500-8977D94AF66D}"/>
    <cellStyle name="Normal 4 2 3 2 6 2 5" xfId="3791" xr:uid="{1218B26C-9442-4F74-AEA5-150BBD310FB7}"/>
    <cellStyle name="Normal 4 2 3 2 6 3" xfId="3792" xr:uid="{4E279142-1E09-490B-9199-E43729A3F2E5}"/>
    <cellStyle name="Normal 4 2 3 2 6 3 2" xfId="3793" xr:uid="{8FC3245A-A749-44B0-9C28-E4C58F125E73}"/>
    <cellStyle name="Normal 4 2 3 2 6 3 2 2" xfId="3794" xr:uid="{C9321541-9A84-45CD-A7A8-5DF4E1AB80C6}"/>
    <cellStyle name="Normal 4 2 3 2 6 3 2 3" xfId="3795" xr:uid="{59164D5B-28A5-438C-A31A-7DC5EED57DE0}"/>
    <cellStyle name="Normal 4 2 3 2 6 3 3" xfId="3796" xr:uid="{BBC894B4-FC5E-43EA-95FE-6A2B33FB5B7C}"/>
    <cellStyle name="Normal 4 2 3 2 6 3 4" xfId="3797" xr:uid="{82716AE5-2458-4DFB-B30A-DD341BE30184}"/>
    <cellStyle name="Normal 4 2 3 2 6 3 5" xfId="3798" xr:uid="{E4EF0E77-E5C7-46BB-B6F8-C4F2131E1733}"/>
    <cellStyle name="Normal 4 2 3 2 6 4" xfId="3799" xr:uid="{93259AA3-3A4B-49B3-9FBA-3E0C7F76C3CA}"/>
    <cellStyle name="Normal 4 2 3 2 6 4 2" xfId="3800" xr:uid="{4BDC85D3-A28E-43E6-8DDE-8A229FD7013D}"/>
    <cellStyle name="Normal 4 2 3 2 6 4 3" xfId="3801" xr:uid="{F8CC69B4-A02F-48AA-B85A-9C22E941F0C9}"/>
    <cellStyle name="Normal 4 2 3 2 6 5" xfId="3802" xr:uid="{2DD84D59-0142-4BB9-91C9-E710B5F5FE1E}"/>
    <cellStyle name="Normal 4 2 3 2 6 6" xfId="3803" xr:uid="{1915C031-9F56-4BC6-893D-E493504CAD1C}"/>
    <cellStyle name="Normal 4 2 3 2 6 7" xfId="3804" xr:uid="{0C6B60A8-603F-4DF5-A531-3C9B8ABDAE66}"/>
    <cellStyle name="Normal 4 2 3 2 7" xfId="3805" xr:uid="{B0DFB06F-9CB9-47D8-BF81-B63822DC8241}"/>
    <cellStyle name="Normal 4 2 3 2 7 2" xfId="3806" xr:uid="{EB4EB0E8-AF13-4005-A5C3-FC51AAFFC823}"/>
    <cellStyle name="Normal 4 2 3 2 7 2 2" xfId="3807" xr:uid="{384E58C8-2D79-452C-9A4D-E2C69882736B}"/>
    <cellStyle name="Normal 4 2 3 2 7 2 3" xfId="3808" xr:uid="{CB05774A-791A-4A77-91E5-EFD680BD75F0}"/>
    <cellStyle name="Normal 4 2 3 2 7 3" xfId="3809" xr:uid="{9DC06EE1-AD33-44FA-A1FD-7ED95E7DCBF9}"/>
    <cellStyle name="Normal 4 2 3 2 7 4" xfId="3810" xr:uid="{B81F79FE-AB95-4D30-A8FA-E1D4BB67BA0B}"/>
    <cellStyle name="Normal 4 2 3 2 7 5" xfId="3811" xr:uid="{1F50185E-3F87-40FF-A0B2-DB1241AA11B5}"/>
    <cellStyle name="Normal 4 2 3 2 8" xfId="3812" xr:uid="{C16FAB11-7E53-4A1F-9850-49EBD0F7D9DE}"/>
    <cellStyle name="Normal 4 2 3 2 8 2" xfId="3813" xr:uid="{B6DA0F71-3890-4E72-9AB7-5DE0A8D75426}"/>
    <cellStyle name="Normal 4 2 3 2 8 2 2" xfId="3814" xr:uid="{CABDAAB2-3A77-49E1-B76E-1CC2E5818042}"/>
    <cellStyle name="Normal 4 2 3 2 8 2 3" xfId="3815" xr:uid="{60E9D84D-5E0C-4F5F-B176-D8821F039766}"/>
    <cellStyle name="Normal 4 2 3 2 8 3" xfId="3816" xr:uid="{1998F38F-CF21-4BE8-B189-75169EE55ED0}"/>
    <cellStyle name="Normal 4 2 3 2 8 4" xfId="3817" xr:uid="{075ECF7E-AAE1-450F-B82B-8B9EADCA5E2B}"/>
    <cellStyle name="Normal 4 2 3 2 8 5" xfId="3818" xr:uid="{883CA8B6-3986-41F4-8461-1B75B4921DD7}"/>
    <cellStyle name="Normal 4 2 3 2 9" xfId="3819" xr:uid="{941F1B8F-EF5D-4FBC-A82E-2707ED620860}"/>
    <cellStyle name="Normal 4 2 3 2 9 2" xfId="3820" xr:uid="{AAE8ABF6-DFA5-4066-A6F5-F52078C9A042}"/>
    <cellStyle name="Normal 4 2 3 2 9 3" xfId="3821" xr:uid="{7A7AA43E-3DD3-44A5-BE53-C8425332B818}"/>
    <cellStyle name="Normal 4 2 3 3" xfId="3822" xr:uid="{036CFE24-85A8-43D7-92E2-06D6DA698F4A}"/>
    <cellStyle name="Normal 4 2 3 3 2" xfId="3823" xr:uid="{64AE4C54-2C45-4CDD-B1FE-25D44AAB8CB2}"/>
    <cellStyle name="Normal 4 2 3 3 2 2" xfId="3824" xr:uid="{E348744C-1230-4B8E-B448-8421BCACEA4F}"/>
    <cellStyle name="Normal 4 2 3 3 2 2 2" xfId="3825" xr:uid="{503DB002-EFB4-4E45-9567-7A1BE49EABA4}"/>
    <cellStyle name="Normal 4 2 3 3 2 2 2 2" xfId="3826" xr:uid="{FE88A146-8B90-493B-B06A-0147C35B1637}"/>
    <cellStyle name="Normal 4 2 3 3 2 2 2 2 2" xfId="3827" xr:uid="{A6A17E3F-13AC-4AC6-B362-5B438099E0EA}"/>
    <cellStyle name="Normal 4 2 3 3 2 2 2 2 3" xfId="3828" xr:uid="{57C8804B-F91B-48DB-9735-7256D5E57B97}"/>
    <cellStyle name="Normal 4 2 3 3 2 2 2 3" xfId="3829" xr:uid="{B91940DE-5DC8-4CBC-A254-D667EFA19B2E}"/>
    <cellStyle name="Normal 4 2 3 3 2 2 2 4" xfId="3830" xr:uid="{B0B755AD-55AE-4ACC-9D0A-E3D0F4AC750E}"/>
    <cellStyle name="Normal 4 2 3 3 2 2 2 5" xfId="3831" xr:uid="{43A9C363-B621-4F7E-AC5C-AD31FEDD40D4}"/>
    <cellStyle name="Normal 4 2 3 3 2 2 3" xfId="3832" xr:uid="{7E9ACFEE-7CBB-4695-904C-B144E6E2F74C}"/>
    <cellStyle name="Normal 4 2 3 3 2 2 3 2" xfId="3833" xr:uid="{5F697823-8877-4A7F-8DC8-D1ABB53FC197}"/>
    <cellStyle name="Normal 4 2 3 3 2 2 3 2 2" xfId="3834" xr:uid="{C5D51EF9-4897-4997-B49F-02F4BF42CCC8}"/>
    <cellStyle name="Normal 4 2 3 3 2 2 3 2 3" xfId="3835" xr:uid="{6C08698C-22E2-45C5-BD28-69C79A31F23E}"/>
    <cellStyle name="Normal 4 2 3 3 2 2 3 3" xfId="3836" xr:uid="{F4DFCBBE-B34A-4BEC-A71A-34650A3A4488}"/>
    <cellStyle name="Normal 4 2 3 3 2 2 3 4" xfId="3837" xr:uid="{79816684-4264-4C88-80FD-4E8130AABD91}"/>
    <cellStyle name="Normal 4 2 3 3 2 2 3 5" xfId="3838" xr:uid="{F6545027-84FB-4779-ABA1-0DA0B915E0B6}"/>
    <cellStyle name="Normal 4 2 3 3 2 2 4" xfId="3839" xr:uid="{CCE3164E-8314-45A0-AD77-9B77A4A15B94}"/>
    <cellStyle name="Normal 4 2 3 3 2 2 4 2" xfId="3840" xr:uid="{E830AB0D-C179-47FC-BEC6-9894B6377D12}"/>
    <cellStyle name="Normal 4 2 3 3 2 2 4 3" xfId="3841" xr:uid="{3555CDA5-E088-4D98-A1C1-A4A5F2ED1FAD}"/>
    <cellStyle name="Normal 4 2 3 3 2 2 5" xfId="3842" xr:uid="{7FEF7959-FB9A-4365-8820-6337A8B84205}"/>
    <cellStyle name="Normal 4 2 3 3 2 2 6" xfId="3843" xr:uid="{B5D083A5-B359-436B-9F8B-49ECB2ABBF34}"/>
    <cellStyle name="Normal 4 2 3 3 2 2 7" xfId="3844" xr:uid="{7AF0AE46-5B0B-43C9-B792-644331223720}"/>
    <cellStyle name="Normal 4 2 3 3 2 3" xfId="3845" xr:uid="{E0794A63-34E9-4A51-B6B3-EA2E65214CDB}"/>
    <cellStyle name="Normal 4 2 3 3 2 3 2" xfId="3846" xr:uid="{229EF27A-B8B6-4E01-A71F-C7A9ED431A0C}"/>
    <cellStyle name="Normal 4 2 3 3 2 3 2 2" xfId="3847" xr:uid="{869C3609-5C8C-43A6-B92E-6AD43027E681}"/>
    <cellStyle name="Normal 4 2 3 3 2 3 2 3" xfId="3848" xr:uid="{0EE0CC77-7224-4BFB-B883-1B2290CDB03E}"/>
    <cellStyle name="Normal 4 2 3 3 2 3 3" xfId="3849" xr:uid="{16550F95-8266-4440-AC61-B86962AECAB3}"/>
    <cellStyle name="Normal 4 2 3 3 2 3 4" xfId="3850" xr:uid="{6EFA9D4F-14AA-4249-BAF6-4281E6B07930}"/>
    <cellStyle name="Normal 4 2 3 3 2 3 5" xfId="3851" xr:uid="{AC95AF83-E503-4374-B905-C85E52506770}"/>
    <cellStyle name="Normal 4 2 3 3 2 4" xfId="3852" xr:uid="{EFF48F1C-E048-47AB-A841-7872157A1801}"/>
    <cellStyle name="Normal 4 2 3 3 2 4 2" xfId="3853" xr:uid="{8D44D4DA-C665-45C4-9EA6-7C9F5F10D25A}"/>
    <cellStyle name="Normal 4 2 3 3 2 4 2 2" xfId="3854" xr:uid="{5D16762F-923E-4D73-B84A-802308644522}"/>
    <cellStyle name="Normal 4 2 3 3 2 4 2 3" xfId="3855" xr:uid="{DF3D6853-3E36-483B-A57F-6A89AE8CC633}"/>
    <cellStyle name="Normal 4 2 3 3 2 4 3" xfId="3856" xr:uid="{CC7F3199-6C49-445B-8DDE-227F669C38BC}"/>
    <cellStyle name="Normal 4 2 3 3 2 4 4" xfId="3857" xr:uid="{D4346906-F36C-4860-8DF7-00185B036382}"/>
    <cellStyle name="Normal 4 2 3 3 2 4 5" xfId="3858" xr:uid="{E5D15499-EF1C-4164-B1E6-E4EC90E4F84C}"/>
    <cellStyle name="Normal 4 2 3 3 2 5" xfId="3859" xr:uid="{10DF8E42-C216-44CC-8E8C-60656DBE576E}"/>
    <cellStyle name="Normal 4 2 3 3 2 5 2" xfId="3860" xr:uid="{5D1098CA-B04A-4931-B1BA-9133155EA876}"/>
    <cellStyle name="Normal 4 2 3 3 2 5 3" xfId="3861" xr:uid="{8DB81DE1-C951-4076-9117-0753CF4EA60D}"/>
    <cellStyle name="Normal 4 2 3 3 2 6" xfId="3862" xr:uid="{836DC933-002C-4ED7-A862-87990FD03362}"/>
    <cellStyle name="Normal 4 2 3 3 2 7" xfId="3863" xr:uid="{783849F9-BFF5-481D-9B70-AB46706733BB}"/>
    <cellStyle name="Normal 4 2 3 3 2 8" xfId="3864" xr:uid="{DDD0E4F5-0AC1-4547-A1D7-A2460C47971C}"/>
    <cellStyle name="Normal 4 2 3 3 3" xfId="3865" xr:uid="{46EE4A88-83EA-4E14-90CB-5750B412B240}"/>
    <cellStyle name="Normal 4 2 3 3 3 2" xfId="3866" xr:uid="{12C8F07F-9BC1-45BF-8A2E-65A782138ABC}"/>
    <cellStyle name="Normal 4 2 3 3 3 2 2" xfId="3867" xr:uid="{AEE6D826-FD57-4079-91DC-2F369FF63CAA}"/>
    <cellStyle name="Normal 4 2 3 3 3 2 2 2" xfId="3868" xr:uid="{0245F3E6-BED8-4FA5-860B-1DF4F17DAD88}"/>
    <cellStyle name="Normal 4 2 3 3 3 2 2 3" xfId="3869" xr:uid="{785FD7D7-EAE8-4CD5-9DF2-370C5FDA00F4}"/>
    <cellStyle name="Normal 4 2 3 3 3 2 3" xfId="3870" xr:uid="{E3B7CAD0-84B3-438D-B822-1E522E14C3B6}"/>
    <cellStyle name="Normal 4 2 3 3 3 2 4" xfId="3871" xr:uid="{7250BF83-820B-45B7-BDE9-E65DCA07A588}"/>
    <cellStyle name="Normal 4 2 3 3 3 2 5" xfId="3872" xr:uid="{B97626F7-2D55-4826-8AA6-458185013769}"/>
    <cellStyle name="Normal 4 2 3 3 3 3" xfId="3873" xr:uid="{13A69A1A-EB4A-4E0E-A5B0-DFF35420B5D2}"/>
    <cellStyle name="Normal 4 2 3 3 3 3 2" xfId="3874" xr:uid="{40C687EC-25A7-4EFB-96CE-ACEC77D33D17}"/>
    <cellStyle name="Normal 4 2 3 3 3 3 2 2" xfId="3875" xr:uid="{F44942C5-8BE4-40BC-9A6D-313567801780}"/>
    <cellStyle name="Normal 4 2 3 3 3 3 2 3" xfId="3876" xr:uid="{F68F8B60-8924-418F-B145-C42BECE7CEB5}"/>
    <cellStyle name="Normal 4 2 3 3 3 3 3" xfId="3877" xr:uid="{112827FC-68D5-44EA-B6AA-A6C01B6212CB}"/>
    <cellStyle name="Normal 4 2 3 3 3 3 4" xfId="3878" xr:uid="{2E4F52F2-6209-46A0-BAC9-8B909B8B0213}"/>
    <cellStyle name="Normal 4 2 3 3 3 3 5" xfId="3879" xr:uid="{08173622-5447-4C90-AB8F-B9D0BC1449F2}"/>
    <cellStyle name="Normal 4 2 3 3 3 4" xfId="3880" xr:uid="{F09ABFAE-E679-4221-A019-A8623E39EBAF}"/>
    <cellStyle name="Normal 4 2 3 3 3 4 2" xfId="3881" xr:uid="{F43D9746-08B8-43A4-86EA-86ED0FF08F5F}"/>
    <cellStyle name="Normal 4 2 3 3 3 4 3" xfId="3882" xr:uid="{8DDC5E1D-4BD7-4A7C-97A4-917417883222}"/>
    <cellStyle name="Normal 4 2 3 3 3 5" xfId="3883" xr:uid="{D8170C3E-F609-46EE-BD1E-586A3F8F6FC2}"/>
    <cellStyle name="Normal 4 2 3 3 3 6" xfId="3884" xr:uid="{4CD185E1-8709-4ADA-8374-3581F71EA4DB}"/>
    <cellStyle name="Normal 4 2 3 3 3 7" xfId="3885" xr:uid="{EA4B6F81-1A5E-4681-8163-7C4E1DCCEE50}"/>
    <cellStyle name="Normal 4 2 3 3 4" xfId="3886" xr:uid="{AD560FB1-7B0D-415C-B3D3-4899FCBD48DF}"/>
    <cellStyle name="Normal 4 2 3 3 4 2" xfId="3887" xr:uid="{F7573AE8-9617-4233-B29E-D7E5C699E202}"/>
    <cellStyle name="Normal 4 2 3 3 4 2 2" xfId="3888" xr:uid="{E697635B-3452-41BB-BD4F-4C1F3D5F5C6E}"/>
    <cellStyle name="Normal 4 2 3 3 4 2 3" xfId="3889" xr:uid="{D7815E4B-F34E-4F0A-8A9F-306A24402423}"/>
    <cellStyle name="Normal 4 2 3 3 4 3" xfId="3890" xr:uid="{1E4F2459-2145-4E01-9634-ACD8E2929FBC}"/>
    <cellStyle name="Normal 4 2 3 3 4 4" xfId="3891" xr:uid="{1583FCB0-B294-4301-BC50-C6E7C018A1D6}"/>
    <cellStyle name="Normal 4 2 3 3 4 5" xfId="3892" xr:uid="{43C94F67-16D5-411C-B89C-C8DE5E0332B8}"/>
    <cellStyle name="Normal 4 2 3 3 5" xfId="3893" xr:uid="{9589EF0E-B370-4EDF-B7ED-F3C09004BBB6}"/>
    <cellStyle name="Normal 4 2 3 3 5 2" xfId="3894" xr:uid="{DA326AD8-8F54-4227-8E07-1DDF74F5E408}"/>
    <cellStyle name="Normal 4 2 3 3 5 2 2" xfId="3895" xr:uid="{CD71D707-D68A-4D40-9AE7-ED45A5FEBF75}"/>
    <cellStyle name="Normal 4 2 3 3 5 2 3" xfId="3896" xr:uid="{0EF6C873-2000-4D7E-8809-F3FD28C1AEB8}"/>
    <cellStyle name="Normal 4 2 3 3 5 3" xfId="3897" xr:uid="{F5B6D501-E629-4F72-8E63-74E8828C758B}"/>
    <cellStyle name="Normal 4 2 3 3 5 4" xfId="3898" xr:uid="{4C9BF5E1-C235-4AB2-A1FA-FE972762623E}"/>
    <cellStyle name="Normal 4 2 3 3 5 5" xfId="3899" xr:uid="{FF15697A-F236-49ED-B3F8-890C78B06CE5}"/>
    <cellStyle name="Normal 4 2 3 3 6" xfId="3900" xr:uid="{1BABDF0B-CAC8-4EAB-99D7-6409736467FD}"/>
    <cellStyle name="Normal 4 2 3 3 6 2" xfId="3901" xr:uid="{C98D4CFE-0AE9-4380-9C23-40697BD9722D}"/>
    <cellStyle name="Normal 4 2 3 3 6 3" xfId="3902" xr:uid="{8D436A51-3669-4A5E-9A54-97A160FD6279}"/>
    <cellStyle name="Normal 4 2 3 3 7" xfId="3903" xr:uid="{79D4AA13-9A87-4A42-BBCE-6B73545667EA}"/>
    <cellStyle name="Normal 4 2 3 3 8" xfId="3904" xr:uid="{D6D2C61B-2F28-4640-9EFC-FC36C440928A}"/>
    <cellStyle name="Normal 4 2 3 3 9" xfId="3905" xr:uid="{1BDF8145-8A7B-4B01-8F53-0535A9E9EAA8}"/>
    <cellStyle name="Normal 4 2 3 4" xfId="3906" xr:uid="{DDD66F4C-0189-4962-9AE8-E12B454777F0}"/>
    <cellStyle name="Normal 4 2 3 4 2" xfId="3907" xr:uid="{AD7B5345-E3C3-4AC7-BF09-FFEE0AED262E}"/>
    <cellStyle name="Normal 4 2 3 4 2 2" xfId="3908" xr:uid="{6AEDE171-A2F8-44A8-97AA-5D12E5BF7FF7}"/>
    <cellStyle name="Normal 4 2 3 4 2 2 2" xfId="3909" xr:uid="{E6121DBE-40C0-4D5F-8EE7-E4C1850E47CB}"/>
    <cellStyle name="Normal 4 2 3 4 2 2 2 2" xfId="3910" xr:uid="{5FA61FED-F307-4CFC-9921-6A995E9C204A}"/>
    <cellStyle name="Normal 4 2 3 4 2 2 2 2 2" xfId="3911" xr:uid="{B8842754-2D8D-4A59-AA65-BA6E5A5513FA}"/>
    <cellStyle name="Normal 4 2 3 4 2 2 2 2 3" xfId="3912" xr:uid="{ACC59287-2C7A-42F5-844B-C6F26E230908}"/>
    <cellStyle name="Normal 4 2 3 4 2 2 2 3" xfId="3913" xr:uid="{982345F4-2ECE-48FB-AB5B-DD3DB84F3DA0}"/>
    <cellStyle name="Normal 4 2 3 4 2 2 2 4" xfId="3914" xr:uid="{0CC86BDC-3D71-47D1-9555-94E0F20C5F1E}"/>
    <cellStyle name="Normal 4 2 3 4 2 2 2 5" xfId="3915" xr:uid="{90CEA4C2-3A73-4EB4-9C98-951DAEC80D57}"/>
    <cellStyle name="Normal 4 2 3 4 2 2 3" xfId="3916" xr:uid="{7DBEFFC4-4ED6-4E96-8FBD-C6B80E9E29A4}"/>
    <cellStyle name="Normal 4 2 3 4 2 2 3 2" xfId="3917" xr:uid="{86D90D18-DAC3-43E2-B2B0-04054DA67B45}"/>
    <cellStyle name="Normal 4 2 3 4 2 2 3 2 2" xfId="3918" xr:uid="{5F6015A6-862F-46A8-BCB5-8C14BE6C01EC}"/>
    <cellStyle name="Normal 4 2 3 4 2 2 3 2 3" xfId="3919" xr:uid="{7635AD37-DEA0-4657-A7BE-F78E7D8E8AB4}"/>
    <cellStyle name="Normal 4 2 3 4 2 2 3 3" xfId="3920" xr:uid="{ED21F747-6E71-4DFE-89AB-758C6579577E}"/>
    <cellStyle name="Normal 4 2 3 4 2 2 3 4" xfId="3921" xr:uid="{CD6FF23E-A948-4029-B8EB-4D04F03EB9A3}"/>
    <cellStyle name="Normal 4 2 3 4 2 2 3 5" xfId="3922" xr:uid="{8EE83ABE-DB13-4438-AFAF-70B80AD3E63B}"/>
    <cellStyle name="Normal 4 2 3 4 2 2 4" xfId="3923" xr:uid="{C9B88C6D-C81A-412D-B771-A981C460D711}"/>
    <cellStyle name="Normal 4 2 3 4 2 2 4 2" xfId="3924" xr:uid="{D76448DD-8132-4FB6-9CDC-9EC313B24E1A}"/>
    <cellStyle name="Normal 4 2 3 4 2 2 4 3" xfId="3925" xr:uid="{8A3CB116-6A32-4629-A1E3-2BFB7FA7592A}"/>
    <cellStyle name="Normal 4 2 3 4 2 2 5" xfId="3926" xr:uid="{23552E86-0F22-453A-B510-2AB7B1461331}"/>
    <cellStyle name="Normal 4 2 3 4 2 2 6" xfId="3927" xr:uid="{2B53E748-F5C2-4378-86FD-973880FF23CD}"/>
    <cellStyle name="Normal 4 2 3 4 2 2 7" xfId="3928" xr:uid="{E70EA254-5F9F-4B93-A8D5-E1C5E558ED18}"/>
    <cellStyle name="Normal 4 2 3 4 2 3" xfId="3929" xr:uid="{7443993C-7200-4DF2-9A3B-C1FAB81C9576}"/>
    <cellStyle name="Normal 4 2 3 4 2 3 2" xfId="3930" xr:uid="{63F8ECCC-D2BD-4D4E-A144-76D5431FCB5C}"/>
    <cellStyle name="Normal 4 2 3 4 2 3 2 2" xfId="3931" xr:uid="{A7C95715-105F-4264-8B7F-DB011779B593}"/>
    <cellStyle name="Normal 4 2 3 4 2 3 2 3" xfId="3932" xr:uid="{BFB4B2E4-B607-46AA-BE8A-0BEBFDF75030}"/>
    <cellStyle name="Normal 4 2 3 4 2 3 3" xfId="3933" xr:uid="{8775B8A4-0388-4B9A-8052-22EC63F455C0}"/>
    <cellStyle name="Normal 4 2 3 4 2 3 4" xfId="3934" xr:uid="{4DCBE57D-650A-44C7-B379-DD209EF5CF4B}"/>
    <cellStyle name="Normal 4 2 3 4 2 3 5" xfId="3935" xr:uid="{23D24F73-82E4-4E48-AC4D-C9870580BCA8}"/>
    <cellStyle name="Normal 4 2 3 4 2 4" xfId="3936" xr:uid="{311B9F45-89C5-4FFB-A5EF-01415F569D7A}"/>
    <cellStyle name="Normal 4 2 3 4 2 4 2" xfId="3937" xr:uid="{F23E1050-EAAC-4ACE-939C-6D5E6805788F}"/>
    <cellStyle name="Normal 4 2 3 4 2 4 2 2" xfId="3938" xr:uid="{8BFA5264-7D94-4E61-A386-D6B28B4E5259}"/>
    <cellStyle name="Normal 4 2 3 4 2 4 2 3" xfId="3939" xr:uid="{6360A603-3400-4488-8D10-8218D0611B47}"/>
    <cellStyle name="Normal 4 2 3 4 2 4 3" xfId="3940" xr:uid="{A4AB0705-3FE5-476D-9971-564E799140E0}"/>
    <cellStyle name="Normal 4 2 3 4 2 4 4" xfId="3941" xr:uid="{35EEF5BD-EEF6-4A71-AE36-C7BFDC8EEA22}"/>
    <cellStyle name="Normal 4 2 3 4 2 4 5" xfId="3942" xr:uid="{4F57A4DF-C8B2-4314-8CB2-1F11220CDBAF}"/>
    <cellStyle name="Normal 4 2 3 4 2 5" xfId="3943" xr:uid="{5BE14777-703B-4CDA-9873-27E913A8590B}"/>
    <cellStyle name="Normal 4 2 3 4 2 5 2" xfId="3944" xr:uid="{4A72FA62-AF4A-4DF2-8582-A6E19997BF1F}"/>
    <cellStyle name="Normal 4 2 3 4 2 5 3" xfId="3945" xr:uid="{EF8AB8A1-4D2A-4A49-9287-95CDB6730814}"/>
    <cellStyle name="Normal 4 2 3 4 2 6" xfId="3946" xr:uid="{9E54FD6F-3885-4E33-8B56-BB3DBAF577E5}"/>
    <cellStyle name="Normal 4 2 3 4 2 7" xfId="3947" xr:uid="{221E24DE-5F1A-46C7-A8CF-A33C62237249}"/>
    <cellStyle name="Normal 4 2 3 4 2 8" xfId="3948" xr:uid="{5192A3E5-21F4-4344-9082-B334DE676B80}"/>
    <cellStyle name="Normal 4 2 3 4 3" xfId="3949" xr:uid="{9194C3CA-0538-4D34-9033-CEC4E6DCA323}"/>
    <cellStyle name="Normal 4 2 3 4 3 2" xfId="3950" xr:uid="{05403E95-A1FF-44C5-9697-CD21E2D95ECC}"/>
    <cellStyle name="Normal 4 2 3 4 3 2 2" xfId="3951" xr:uid="{73379B50-6CB4-49F3-AEED-F88E1902F7B7}"/>
    <cellStyle name="Normal 4 2 3 4 3 2 2 2" xfId="3952" xr:uid="{39D0A75B-C036-4D5B-8D7E-F415AF4669DF}"/>
    <cellStyle name="Normal 4 2 3 4 3 2 2 3" xfId="3953" xr:uid="{7D8D94DE-E874-4377-9DBD-FCCEE19AD825}"/>
    <cellStyle name="Normal 4 2 3 4 3 2 3" xfId="3954" xr:uid="{B80DA603-6140-45B9-92D4-55E5E46E4961}"/>
    <cellStyle name="Normal 4 2 3 4 3 2 4" xfId="3955" xr:uid="{9C782D75-83B5-4F8C-B022-77DCFB98404C}"/>
    <cellStyle name="Normal 4 2 3 4 3 2 5" xfId="3956" xr:uid="{5FE3A4BC-680A-477F-BD1D-6290BC6D0ED2}"/>
    <cellStyle name="Normal 4 2 3 4 3 3" xfId="3957" xr:uid="{68BD0749-3982-4D18-9453-57B813D5D3BF}"/>
    <cellStyle name="Normal 4 2 3 4 3 3 2" xfId="3958" xr:uid="{8BA48636-D1F3-459A-92F5-13D667446D68}"/>
    <cellStyle name="Normal 4 2 3 4 3 3 2 2" xfId="3959" xr:uid="{C367F441-7C44-4A59-BF6A-205E0AB6F20A}"/>
    <cellStyle name="Normal 4 2 3 4 3 3 2 3" xfId="3960" xr:uid="{C2CEB7BF-5529-48EC-AD10-E01D832BC8B1}"/>
    <cellStyle name="Normal 4 2 3 4 3 3 3" xfId="3961" xr:uid="{E902E856-0565-44FF-9A5B-9B4EE8508AC8}"/>
    <cellStyle name="Normal 4 2 3 4 3 3 4" xfId="3962" xr:uid="{3173642B-62F0-4B15-9E3D-9E9E34748AF1}"/>
    <cellStyle name="Normal 4 2 3 4 3 3 5" xfId="3963" xr:uid="{92270956-63F1-481C-9C78-9DD31AFE3BAD}"/>
    <cellStyle name="Normal 4 2 3 4 3 4" xfId="3964" xr:uid="{5EA45D1A-70D4-4FD0-BDA5-CF27046B3201}"/>
    <cellStyle name="Normal 4 2 3 4 3 4 2" xfId="3965" xr:uid="{90A52B29-DCD5-45E1-A45C-66A8A99DFCF1}"/>
    <cellStyle name="Normal 4 2 3 4 3 4 3" xfId="3966" xr:uid="{69563803-10F9-4E9F-9526-4C33F211980D}"/>
    <cellStyle name="Normal 4 2 3 4 3 5" xfId="3967" xr:uid="{21D98B2C-259E-41B7-9B74-CE274891E13A}"/>
    <cellStyle name="Normal 4 2 3 4 3 6" xfId="3968" xr:uid="{34EB632A-CD3C-4FC5-A2F4-E3AC7C0BD158}"/>
    <cellStyle name="Normal 4 2 3 4 3 7" xfId="3969" xr:uid="{55982786-D461-48ED-BF6D-6348375DAD0F}"/>
    <cellStyle name="Normal 4 2 3 4 4" xfId="3970" xr:uid="{34D11CD9-6BF2-4991-8CBC-5545EF0BD626}"/>
    <cellStyle name="Normal 4 2 3 4 4 2" xfId="3971" xr:uid="{1A4B7342-4F59-4B01-9C7E-1F0A71054A79}"/>
    <cellStyle name="Normal 4 2 3 4 4 2 2" xfId="3972" xr:uid="{01CD8D03-2047-4B0F-99DC-78866E7A6A20}"/>
    <cellStyle name="Normal 4 2 3 4 4 2 3" xfId="3973" xr:uid="{C53FBD87-E28C-4A6C-9FDA-98040400C7EF}"/>
    <cellStyle name="Normal 4 2 3 4 4 3" xfId="3974" xr:uid="{6BE17A31-63F0-49BE-99D4-C62B5A38D370}"/>
    <cellStyle name="Normal 4 2 3 4 4 4" xfId="3975" xr:uid="{7DA3CBE1-9913-43B6-B3E8-A53C4EE8C098}"/>
    <cellStyle name="Normal 4 2 3 4 4 5" xfId="3976" xr:uid="{66686592-8D1D-4B84-B882-1C4EACA5EC26}"/>
    <cellStyle name="Normal 4 2 3 4 5" xfId="3977" xr:uid="{05EAE4A5-C06A-4679-B20A-DC002161FA2E}"/>
    <cellStyle name="Normal 4 2 3 4 5 2" xfId="3978" xr:uid="{73D49AA0-9155-466A-807F-1690F8448DEE}"/>
    <cellStyle name="Normal 4 2 3 4 5 2 2" xfId="3979" xr:uid="{FB1003E3-1750-493B-A5A8-1D4EC8A2C877}"/>
    <cellStyle name="Normal 4 2 3 4 5 2 3" xfId="3980" xr:uid="{1773EC01-F29F-4B86-8096-11E6BB182574}"/>
    <cellStyle name="Normal 4 2 3 4 5 3" xfId="3981" xr:uid="{39060E82-80DF-4E81-B9CE-03F656C3C369}"/>
    <cellStyle name="Normal 4 2 3 4 5 4" xfId="3982" xr:uid="{75F061B3-1B5C-49DE-A3CB-86EDE4FF2AA7}"/>
    <cellStyle name="Normal 4 2 3 4 5 5" xfId="3983" xr:uid="{E691E4DE-2DC5-44B8-98BF-67A1C8E7C77D}"/>
    <cellStyle name="Normal 4 2 3 4 6" xfId="3984" xr:uid="{7C6E6F89-6B46-4257-A565-80717476B6F6}"/>
    <cellStyle name="Normal 4 2 3 4 6 2" xfId="3985" xr:uid="{547CBAD6-0DC0-4B42-8215-A65E558EC197}"/>
    <cellStyle name="Normal 4 2 3 4 6 3" xfId="3986" xr:uid="{8641DA3F-DFC1-496E-AD5E-439D19E7746C}"/>
    <cellStyle name="Normal 4 2 3 4 7" xfId="3987" xr:uid="{5E6E6A9D-04C7-4C46-9A8B-142B21255BBD}"/>
    <cellStyle name="Normal 4 2 3 4 8" xfId="3988" xr:uid="{DC20DB7C-C5AD-4F37-9199-9D426A80FAA3}"/>
    <cellStyle name="Normal 4 2 3 4 9" xfId="3989" xr:uid="{5D0005AA-15A8-4DB0-9E7F-15ECD9699DE0}"/>
    <cellStyle name="Normal 4 2 3 5" xfId="3990" xr:uid="{9C4D48F4-6AB9-4763-B8B8-50E69796E836}"/>
    <cellStyle name="Normal 4 2 3 5 2" xfId="3991" xr:uid="{DE354763-5FF3-473E-A4A1-F5F93F2F1DF8}"/>
    <cellStyle name="Normal 4 2 3 5 2 2" xfId="3992" xr:uid="{F202C4BD-3AF2-4C8B-AB2F-832043F97D57}"/>
    <cellStyle name="Normal 4 2 3 5 2 2 2" xfId="3993" xr:uid="{F749DAB1-250B-43EA-ADFC-5BF046502F78}"/>
    <cellStyle name="Normal 4 2 3 5 2 2 2 2" xfId="3994" xr:uid="{3E70B4A1-A7B8-4421-A891-20E2859B8220}"/>
    <cellStyle name="Normal 4 2 3 5 2 2 2 2 2" xfId="3995" xr:uid="{0FAD0F83-D858-430E-A930-347486CE4119}"/>
    <cellStyle name="Normal 4 2 3 5 2 2 2 2 3" xfId="3996" xr:uid="{985CA136-B54F-457E-A200-8B63872B9132}"/>
    <cellStyle name="Normal 4 2 3 5 2 2 2 3" xfId="3997" xr:uid="{CA713A34-690F-433A-9746-8EE461FE77FD}"/>
    <cellStyle name="Normal 4 2 3 5 2 2 2 4" xfId="3998" xr:uid="{86F4A2DD-3357-4ED0-8C47-8FF6965FA9F3}"/>
    <cellStyle name="Normal 4 2 3 5 2 2 2 5" xfId="3999" xr:uid="{8F0950EF-7D2E-409F-BE65-C851A85CE689}"/>
    <cellStyle name="Normal 4 2 3 5 2 2 3" xfId="4000" xr:uid="{94086A53-57CA-4889-BA35-EC093625BDF6}"/>
    <cellStyle name="Normal 4 2 3 5 2 2 3 2" xfId="4001" xr:uid="{22A2DAD7-7F99-40EC-8B96-C3E316CF0F4C}"/>
    <cellStyle name="Normal 4 2 3 5 2 2 3 2 2" xfId="4002" xr:uid="{B2A0E8F1-6BA3-4FB6-A160-62956979FA8B}"/>
    <cellStyle name="Normal 4 2 3 5 2 2 3 2 3" xfId="4003" xr:uid="{A55848A1-25E4-455F-9FE1-0FE08D7EBEFC}"/>
    <cellStyle name="Normal 4 2 3 5 2 2 3 3" xfId="4004" xr:uid="{0B190847-B454-40B1-9BF9-CAE7ADB57EE3}"/>
    <cellStyle name="Normal 4 2 3 5 2 2 3 4" xfId="4005" xr:uid="{FEB72DCC-A163-45DF-AEDE-46E32F6E0802}"/>
    <cellStyle name="Normal 4 2 3 5 2 2 3 5" xfId="4006" xr:uid="{DDDD35A5-8177-4149-A813-4B4B5642A2FA}"/>
    <cellStyle name="Normal 4 2 3 5 2 2 4" xfId="4007" xr:uid="{11DE7381-9108-46BF-9FA6-5AD1A6AC0BCC}"/>
    <cellStyle name="Normal 4 2 3 5 2 2 4 2" xfId="4008" xr:uid="{D4C46CBA-518A-42D2-BD4B-1F360671CA97}"/>
    <cellStyle name="Normal 4 2 3 5 2 2 4 3" xfId="4009" xr:uid="{CE245C69-D192-4CD5-AA36-B11D0BBA5CC0}"/>
    <cellStyle name="Normal 4 2 3 5 2 2 5" xfId="4010" xr:uid="{7F22F30A-6758-40EE-8D0F-494D97A2139B}"/>
    <cellStyle name="Normal 4 2 3 5 2 2 6" xfId="4011" xr:uid="{90759AFE-DA40-46EA-84B6-969B2C14ED05}"/>
    <cellStyle name="Normal 4 2 3 5 2 2 7" xfId="4012" xr:uid="{D2E46AA2-15E4-4C03-B687-0D672411808E}"/>
    <cellStyle name="Normal 4 2 3 5 2 3" xfId="4013" xr:uid="{DBBED1A2-C671-4DA4-A530-E1B86835D3AF}"/>
    <cellStyle name="Normal 4 2 3 5 2 3 2" xfId="4014" xr:uid="{D11887E7-E572-4042-A704-014915F824FB}"/>
    <cellStyle name="Normal 4 2 3 5 2 3 2 2" xfId="4015" xr:uid="{0E0ACFC2-8DCC-4AF1-93E6-A6593B943428}"/>
    <cellStyle name="Normal 4 2 3 5 2 3 2 3" xfId="4016" xr:uid="{770909DA-3E51-41FB-962E-A0D66C8703AC}"/>
    <cellStyle name="Normal 4 2 3 5 2 3 3" xfId="4017" xr:uid="{09790FD9-C4D1-43C8-B997-2778DD19B654}"/>
    <cellStyle name="Normal 4 2 3 5 2 3 4" xfId="4018" xr:uid="{97F8A79D-4C51-4845-8D36-7BA28D3FDA96}"/>
    <cellStyle name="Normal 4 2 3 5 2 3 5" xfId="4019" xr:uid="{1AF586D0-F68C-46E3-A02A-A300866D378D}"/>
    <cellStyle name="Normal 4 2 3 5 2 4" xfId="4020" xr:uid="{07254559-956C-489C-9F26-4C4EFC50F300}"/>
    <cellStyle name="Normal 4 2 3 5 2 4 2" xfId="4021" xr:uid="{3703FDA9-F9D6-40C7-9408-FCB55C7D8D5A}"/>
    <cellStyle name="Normal 4 2 3 5 2 4 2 2" xfId="4022" xr:uid="{0F319E7D-1B8B-4232-953F-B009A0B6AC77}"/>
    <cellStyle name="Normal 4 2 3 5 2 4 2 3" xfId="4023" xr:uid="{76E1ADC7-DF0B-4C35-8D76-44E2EF91D77C}"/>
    <cellStyle name="Normal 4 2 3 5 2 4 3" xfId="4024" xr:uid="{CDFEB436-FFAD-4A94-BF68-4D8CEEE22E0D}"/>
    <cellStyle name="Normal 4 2 3 5 2 4 4" xfId="4025" xr:uid="{87E4EE92-415F-47A6-A055-152EC54F7B26}"/>
    <cellStyle name="Normal 4 2 3 5 2 4 5" xfId="4026" xr:uid="{B852862F-BB2A-4FFE-9616-31FB60CE4599}"/>
    <cellStyle name="Normal 4 2 3 5 2 5" xfId="4027" xr:uid="{34E18626-13DC-4193-98E2-2DF479EEC872}"/>
    <cellStyle name="Normal 4 2 3 5 2 5 2" xfId="4028" xr:uid="{2F93EDC0-A30D-4E97-96BE-20A47810A469}"/>
    <cellStyle name="Normal 4 2 3 5 2 5 3" xfId="4029" xr:uid="{F2AD73FD-0990-4F75-98AC-A039AD07FBB5}"/>
    <cellStyle name="Normal 4 2 3 5 2 6" xfId="4030" xr:uid="{3F83747E-E043-49FD-B307-F36588453309}"/>
    <cellStyle name="Normal 4 2 3 5 2 7" xfId="4031" xr:uid="{15147E9E-D323-41E3-8104-337F22C57EA0}"/>
    <cellStyle name="Normal 4 2 3 5 2 8" xfId="4032" xr:uid="{73FCE454-2508-4B40-871F-EEA4D1D46071}"/>
    <cellStyle name="Normal 4 2 3 5 3" xfId="4033" xr:uid="{27F30010-95A7-467D-B53E-68CF901A19F6}"/>
    <cellStyle name="Normal 4 2 3 5 3 2" xfId="4034" xr:uid="{5555EC46-CE3A-4204-BD15-78FAB6D1A080}"/>
    <cellStyle name="Normal 4 2 3 5 3 2 2" xfId="4035" xr:uid="{2D2F29A2-59E4-4533-A112-8E9C5827E3DF}"/>
    <cellStyle name="Normal 4 2 3 5 3 2 2 2" xfId="4036" xr:uid="{9CBC678D-0DA7-426A-9035-B2BF3B75F863}"/>
    <cellStyle name="Normal 4 2 3 5 3 2 2 3" xfId="4037" xr:uid="{A72D15AA-FB7D-4DA6-920D-59CDE22F48A2}"/>
    <cellStyle name="Normal 4 2 3 5 3 2 3" xfId="4038" xr:uid="{A94D3585-5F0F-47F5-B0AF-17A70FB5C1BC}"/>
    <cellStyle name="Normal 4 2 3 5 3 2 4" xfId="4039" xr:uid="{5D8E8F92-DCA1-43FE-AEA9-BE2F10CF22DD}"/>
    <cellStyle name="Normal 4 2 3 5 3 2 5" xfId="4040" xr:uid="{94F13BFA-A978-41A1-8506-48515E967787}"/>
    <cellStyle name="Normal 4 2 3 5 3 3" xfId="4041" xr:uid="{9504A384-C037-42A2-B9BC-61F1C96CF3A2}"/>
    <cellStyle name="Normal 4 2 3 5 3 3 2" xfId="4042" xr:uid="{8F3099FC-C7FC-43F6-AEC1-C40173EBD1F1}"/>
    <cellStyle name="Normal 4 2 3 5 3 3 2 2" xfId="4043" xr:uid="{AAECEA9C-2ADE-49C6-917B-D296EFEC1669}"/>
    <cellStyle name="Normal 4 2 3 5 3 3 2 3" xfId="4044" xr:uid="{2A0798F7-0B5E-4BD7-993E-C338E0B3F912}"/>
    <cellStyle name="Normal 4 2 3 5 3 3 3" xfId="4045" xr:uid="{78EF0163-C61E-426E-8167-3C17C510309E}"/>
    <cellStyle name="Normal 4 2 3 5 3 3 4" xfId="4046" xr:uid="{635C948D-6968-41BC-8939-BEDE5CBB6180}"/>
    <cellStyle name="Normal 4 2 3 5 3 3 5" xfId="4047" xr:uid="{BACFD0A0-6156-4DEE-9F3C-B27B2CAD3B13}"/>
    <cellStyle name="Normal 4 2 3 5 3 4" xfId="4048" xr:uid="{0D2DD43D-4935-4CD6-A8FF-7B0E07E7088C}"/>
    <cellStyle name="Normal 4 2 3 5 3 4 2" xfId="4049" xr:uid="{B57B71D7-D2E5-4A18-A0BB-B5476030BA26}"/>
    <cellStyle name="Normal 4 2 3 5 3 4 3" xfId="4050" xr:uid="{88EF6E6A-8F8D-4795-ACB6-1AF2B5D8D0EC}"/>
    <cellStyle name="Normal 4 2 3 5 3 5" xfId="4051" xr:uid="{BE8848E5-F3F1-484E-A805-C24A9A723D57}"/>
    <cellStyle name="Normal 4 2 3 5 3 6" xfId="4052" xr:uid="{228EF2CC-59B6-4B54-99A2-D70283869F9F}"/>
    <cellStyle name="Normal 4 2 3 5 3 7" xfId="4053" xr:uid="{7C0E8E4B-A566-4858-B552-0512B3729878}"/>
    <cellStyle name="Normal 4 2 3 5 4" xfId="4054" xr:uid="{78055130-CC43-455E-8D24-198D23DB1C15}"/>
    <cellStyle name="Normal 4 2 3 5 4 2" xfId="4055" xr:uid="{15EEB37D-7C1A-487C-8B5C-B3376AB64E8D}"/>
    <cellStyle name="Normal 4 2 3 5 4 2 2" xfId="4056" xr:uid="{CC8E81D8-83A2-43D7-99FB-417AF7CEC23C}"/>
    <cellStyle name="Normal 4 2 3 5 4 2 3" xfId="4057" xr:uid="{77E9C28E-374C-4F67-9EA0-A7866761334E}"/>
    <cellStyle name="Normal 4 2 3 5 4 3" xfId="4058" xr:uid="{3153301F-485D-4023-8F9D-83000AEF6E2A}"/>
    <cellStyle name="Normal 4 2 3 5 4 4" xfId="4059" xr:uid="{4051A2C0-96D5-4B71-9568-751A67C634E6}"/>
    <cellStyle name="Normal 4 2 3 5 4 5" xfId="4060" xr:uid="{33999B7D-11EC-4E32-835B-7FBD4BD1BDE5}"/>
    <cellStyle name="Normal 4 2 3 5 5" xfId="4061" xr:uid="{228368BA-AA29-4031-A1F2-06E2BF135E1C}"/>
    <cellStyle name="Normal 4 2 3 5 5 2" xfId="4062" xr:uid="{2B5C02E7-6477-4AE9-881A-6A7437610A97}"/>
    <cellStyle name="Normal 4 2 3 5 5 2 2" xfId="4063" xr:uid="{87145EB7-271D-45F7-90F2-345893130177}"/>
    <cellStyle name="Normal 4 2 3 5 5 2 3" xfId="4064" xr:uid="{D09ECB4A-4B79-4497-9CF2-169DDB0FC35C}"/>
    <cellStyle name="Normal 4 2 3 5 5 3" xfId="4065" xr:uid="{A9728506-1862-4E1F-B82C-77A518B46236}"/>
    <cellStyle name="Normal 4 2 3 5 5 4" xfId="4066" xr:uid="{B5DEA21E-F705-47D4-86A1-4FC8FAEFFD90}"/>
    <cellStyle name="Normal 4 2 3 5 5 5" xfId="4067" xr:uid="{DE77BCAA-6A46-4230-AA71-0347AD797F54}"/>
    <cellStyle name="Normal 4 2 3 5 6" xfId="4068" xr:uid="{0C0E7A7D-8FF0-464C-9A5F-66599050972B}"/>
    <cellStyle name="Normal 4 2 3 5 6 2" xfId="4069" xr:uid="{1833855A-B525-469B-9CCA-E7304DC59B2C}"/>
    <cellStyle name="Normal 4 2 3 5 6 3" xfId="4070" xr:uid="{D7093C1F-8326-4A96-8930-11C589067F88}"/>
    <cellStyle name="Normal 4 2 3 5 7" xfId="4071" xr:uid="{B42E8832-5384-4AC1-8942-8446F2C4330E}"/>
    <cellStyle name="Normal 4 2 3 5 8" xfId="4072" xr:uid="{20951A18-F3CD-4522-BD07-17FAF5325880}"/>
    <cellStyle name="Normal 4 2 3 5 9" xfId="4073" xr:uid="{E393C1FD-DB47-4E2A-8A25-947B6FC82A87}"/>
    <cellStyle name="Normal 4 2 3 6" xfId="4074" xr:uid="{A5AD8243-B2FD-4467-BA18-113A901804F7}"/>
    <cellStyle name="Normal 4 2 3 6 2" xfId="4075" xr:uid="{9B993747-8E32-49EC-A52F-8064F5631D6E}"/>
    <cellStyle name="Normal 4 2 3 6 2 2" xfId="4076" xr:uid="{55D3B4ED-EA64-45AD-B1A9-8648A6DC7E8D}"/>
    <cellStyle name="Normal 4 2 3 6 2 2 2" xfId="4077" xr:uid="{24A9BC9A-7CB6-4918-8F8A-F0B2C2AFD67E}"/>
    <cellStyle name="Normal 4 2 3 6 2 2 2 2" xfId="4078" xr:uid="{A6B6415F-F7DA-4FF4-8DA2-08A595880648}"/>
    <cellStyle name="Normal 4 2 3 6 2 2 2 3" xfId="4079" xr:uid="{4579C66F-5A68-441E-9B43-8F13893EC0DF}"/>
    <cellStyle name="Normal 4 2 3 6 2 2 3" xfId="4080" xr:uid="{87AD14B4-B2C7-4C13-8723-47F7F3EBFD4A}"/>
    <cellStyle name="Normal 4 2 3 6 2 2 4" xfId="4081" xr:uid="{48FDB5DB-3290-429C-88EE-D10E7061485B}"/>
    <cellStyle name="Normal 4 2 3 6 2 2 5" xfId="4082" xr:uid="{F9035F29-A39E-4120-8F33-B5B8618A61BC}"/>
    <cellStyle name="Normal 4 2 3 6 2 3" xfId="4083" xr:uid="{ED987A51-1C5C-41DE-B134-88F5CB331DB8}"/>
    <cellStyle name="Normal 4 2 3 6 2 3 2" xfId="4084" xr:uid="{844518E7-9034-400F-8416-D7AFF8993F26}"/>
    <cellStyle name="Normal 4 2 3 6 2 3 2 2" xfId="4085" xr:uid="{559B835C-4A1C-4548-B866-1BA7A160B6EB}"/>
    <cellStyle name="Normal 4 2 3 6 2 3 2 3" xfId="4086" xr:uid="{ABC9C001-80B9-4A73-9DC3-3E402EDBEEDE}"/>
    <cellStyle name="Normal 4 2 3 6 2 3 3" xfId="4087" xr:uid="{A0FAAE95-CA3A-4482-BD47-58E16F8D9F21}"/>
    <cellStyle name="Normal 4 2 3 6 2 3 4" xfId="4088" xr:uid="{51A6CA44-9D7F-4DCD-A481-D1829FBE0C0A}"/>
    <cellStyle name="Normal 4 2 3 6 2 3 5" xfId="4089" xr:uid="{D30BF39A-33D2-48F0-9398-51F5D1C10011}"/>
    <cellStyle name="Normal 4 2 3 6 2 4" xfId="4090" xr:uid="{17CE507E-06DB-41BA-B166-91CEDAFD9FAA}"/>
    <cellStyle name="Normal 4 2 3 6 2 4 2" xfId="4091" xr:uid="{9C30C58B-B8A9-4C48-9D06-347122014C5A}"/>
    <cellStyle name="Normal 4 2 3 6 2 4 3" xfId="4092" xr:uid="{F2C01109-C66A-4AB5-BD06-80720D29D5D3}"/>
    <cellStyle name="Normal 4 2 3 6 2 5" xfId="4093" xr:uid="{6937A339-68AB-48BC-9391-7D7D61B5ECE9}"/>
    <cellStyle name="Normal 4 2 3 6 2 6" xfId="4094" xr:uid="{22035854-886F-429E-B78E-EF054B0FAC90}"/>
    <cellStyle name="Normal 4 2 3 6 2 7" xfId="4095" xr:uid="{7C941BE4-F810-45D1-8D33-E2354A6F9425}"/>
    <cellStyle name="Normal 4 2 3 6 3" xfId="4096" xr:uid="{A4BE4AAF-B577-4DA6-BBBC-FE04C735A26E}"/>
    <cellStyle name="Normal 4 2 3 6 3 2" xfId="4097" xr:uid="{B6C63112-3A2A-4604-AAF4-BC7E493897C7}"/>
    <cellStyle name="Normal 4 2 3 6 3 2 2" xfId="4098" xr:uid="{13ABCAF4-B333-4C7A-B410-B40561F04ED1}"/>
    <cellStyle name="Normal 4 2 3 6 3 2 3" xfId="4099" xr:uid="{A82F073B-95B8-464C-B934-D0BBFF006A57}"/>
    <cellStyle name="Normal 4 2 3 6 3 3" xfId="4100" xr:uid="{27B7513B-75F2-4349-951B-2D14B7570229}"/>
    <cellStyle name="Normal 4 2 3 6 3 4" xfId="4101" xr:uid="{60345579-F9B0-4A11-BF21-0F249A524D3B}"/>
    <cellStyle name="Normal 4 2 3 6 3 5" xfId="4102" xr:uid="{9FB99508-4336-4171-8203-2BD487F0E985}"/>
    <cellStyle name="Normal 4 2 3 6 4" xfId="4103" xr:uid="{B230830E-D8B3-41BD-8209-51471C40EB66}"/>
    <cellStyle name="Normal 4 2 3 6 4 2" xfId="4104" xr:uid="{8276682D-FA28-479B-8953-0D5D4A7BE5A8}"/>
    <cellStyle name="Normal 4 2 3 6 4 2 2" xfId="4105" xr:uid="{C08DB83F-1DAA-41C6-9216-F9D29FBE68DF}"/>
    <cellStyle name="Normal 4 2 3 6 4 2 3" xfId="4106" xr:uid="{4692CFA8-08F6-4AE5-AE70-447782E91867}"/>
    <cellStyle name="Normal 4 2 3 6 4 3" xfId="4107" xr:uid="{709C44EE-AA64-4AF8-9222-EDAFA0619CF5}"/>
    <cellStyle name="Normal 4 2 3 6 4 4" xfId="4108" xr:uid="{7DC8B670-A897-4500-B431-0691192E98D1}"/>
    <cellStyle name="Normal 4 2 3 6 4 5" xfId="4109" xr:uid="{F57BC952-8991-4D40-A5AF-BB64C491EA02}"/>
    <cellStyle name="Normal 4 2 3 6 5" xfId="4110" xr:uid="{F153F8FB-243E-43F5-8F78-2D90AA392344}"/>
    <cellStyle name="Normal 4 2 3 6 5 2" xfId="4111" xr:uid="{E2149847-44F9-4D32-90FE-18EE8F0EC12D}"/>
    <cellStyle name="Normal 4 2 3 6 5 3" xfId="4112" xr:uid="{03797B3A-0480-46D2-A41D-6215A2D3B7FC}"/>
    <cellStyle name="Normal 4 2 3 6 6" xfId="4113" xr:uid="{86DFF939-6AF5-4E11-89B6-EDC008EC61B6}"/>
    <cellStyle name="Normal 4 2 3 6 7" xfId="4114" xr:uid="{66388CAF-EC24-4B62-B4B2-75873CE6058C}"/>
    <cellStyle name="Normal 4 2 3 6 8" xfId="4115" xr:uid="{714CCBFD-E252-49D3-8F07-96741317BE51}"/>
    <cellStyle name="Normal 4 2 3 7" xfId="4116" xr:uid="{61BE7FAF-1D87-489F-BE18-B3F20FEDCCD6}"/>
    <cellStyle name="Normal 4 2 3 7 2" xfId="4117" xr:uid="{A0249757-4814-4727-9676-ED9987C1DC9D}"/>
    <cellStyle name="Normal 4 2 3 7 2 2" xfId="4118" xr:uid="{4F2D6400-6F0E-4689-A876-D3E3E46EDC2E}"/>
    <cellStyle name="Normal 4 2 3 7 2 2 2" xfId="4119" xr:uid="{2E17591F-C948-4404-A950-2ECAB9A1FCF0}"/>
    <cellStyle name="Normal 4 2 3 7 2 2 3" xfId="4120" xr:uid="{93908577-A449-4BF7-9EE9-E899DED672AE}"/>
    <cellStyle name="Normal 4 2 3 7 2 3" xfId="4121" xr:uid="{37069639-F576-4943-8A78-E1BBB4158964}"/>
    <cellStyle name="Normal 4 2 3 7 2 4" xfId="4122" xr:uid="{663DFA71-B78F-4277-A253-6E762D8AD1ED}"/>
    <cellStyle name="Normal 4 2 3 7 2 5" xfId="4123" xr:uid="{3D572920-181C-4507-9023-8BE4B7BB568D}"/>
    <cellStyle name="Normal 4 2 3 7 3" xfId="4124" xr:uid="{43DAF9B8-60DD-4032-B596-7A4AC01C0B40}"/>
    <cellStyle name="Normal 4 2 3 7 3 2" xfId="4125" xr:uid="{EA764141-0329-4982-B919-F129C97055C8}"/>
    <cellStyle name="Normal 4 2 3 7 3 2 2" xfId="4126" xr:uid="{71583715-AA52-45C8-B503-081943569633}"/>
    <cellStyle name="Normal 4 2 3 7 3 2 3" xfId="4127" xr:uid="{8FBCE2EE-4B3C-471A-B81B-25D51B5DB8C5}"/>
    <cellStyle name="Normal 4 2 3 7 3 3" xfId="4128" xr:uid="{7BE64713-5258-4B30-BB92-F7B7BF569456}"/>
    <cellStyle name="Normal 4 2 3 7 3 4" xfId="4129" xr:uid="{B0E19E4D-137F-4B25-9D96-90832C9A475B}"/>
    <cellStyle name="Normal 4 2 3 7 3 5" xfId="4130" xr:uid="{6F1DA105-89E0-473F-8FF4-5940EF38D58D}"/>
    <cellStyle name="Normal 4 2 3 7 4" xfId="4131" xr:uid="{E4600F82-A990-4186-9D8D-7840BC98AD14}"/>
    <cellStyle name="Normal 4 2 3 7 4 2" xfId="4132" xr:uid="{B050E401-47E2-4CF0-9633-D1E0AB8C0DC4}"/>
    <cellStyle name="Normal 4 2 3 7 4 3" xfId="4133" xr:uid="{D3135738-596E-4817-B01B-DF1C071ECC94}"/>
    <cellStyle name="Normal 4 2 3 7 5" xfId="4134" xr:uid="{B807C7F9-E9FD-4EA6-B3F0-C84C142F1B56}"/>
    <cellStyle name="Normal 4 2 3 7 6" xfId="4135" xr:uid="{9F99D41E-8584-4719-BFB6-35A1F99B6CDC}"/>
    <cellStyle name="Normal 4 2 3 7 7" xfId="4136" xr:uid="{B29631D9-A165-44BD-86B9-07095CF58006}"/>
    <cellStyle name="Normal 4 2 3 8" xfId="4137" xr:uid="{5D580FE8-46B3-48BC-A0CE-A6A7D667440B}"/>
    <cellStyle name="Normal 4 2 3 8 2" xfId="4138" xr:uid="{936DA06D-40FE-4985-9B68-2D38F7135EE7}"/>
    <cellStyle name="Normal 4 2 3 8 2 2" xfId="4139" xr:uid="{DFFA5143-EB66-4B1E-9A1F-FA839913A1BA}"/>
    <cellStyle name="Normal 4 2 3 8 2 2 2" xfId="4140" xr:uid="{BA2960AF-DB5A-480C-B5B8-676AF7DF8C64}"/>
    <cellStyle name="Normal 4 2 3 8 2 2 3" xfId="4141" xr:uid="{9EF4DAD6-9852-4B35-876D-2EEC17BCEFC0}"/>
    <cellStyle name="Normal 4 2 3 8 2 3" xfId="4142" xr:uid="{8861133D-822C-42A8-B940-DB614ABF3549}"/>
    <cellStyle name="Normal 4 2 3 8 2 4" xfId="4143" xr:uid="{22FCB849-EFE2-43D0-BA4F-BB0096580321}"/>
    <cellStyle name="Normal 4 2 3 8 2 5" xfId="4144" xr:uid="{BB8DFAF2-0F06-4059-BD57-741FB764A041}"/>
    <cellStyle name="Normal 4 2 3 8 3" xfId="4145" xr:uid="{FC7C287C-0868-4CEC-B989-DE5A008E143F}"/>
    <cellStyle name="Normal 4 2 3 8 3 2" xfId="4146" xr:uid="{DBBC295A-F4F8-4CFF-9534-FC52E91FE265}"/>
    <cellStyle name="Normal 4 2 3 8 3 2 2" xfId="4147" xr:uid="{734E0C58-057C-43BE-8D8D-06A6058EA79A}"/>
    <cellStyle name="Normal 4 2 3 8 3 2 3" xfId="4148" xr:uid="{D6B4C67F-3A2D-4578-84DD-CE4E970CF47B}"/>
    <cellStyle name="Normal 4 2 3 8 3 3" xfId="4149" xr:uid="{91DE9C29-B2C3-415A-8358-7D69DF4885DD}"/>
    <cellStyle name="Normal 4 2 3 8 3 4" xfId="4150" xr:uid="{F2E4B44A-0523-4C43-AA75-FB865498407B}"/>
    <cellStyle name="Normal 4 2 3 8 3 5" xfId="4151" xr:uid="{FF6DA166-FF36-4556-8D7A-F42248CDF076}"/>
    <cellStyle name="Normal 4 2 3 8 4" xfId="4152" xr:uid="{4BB58F0B-E136-4A16-8558-8D4823D175D5}"/>
    <cellStyle name="Normal 4 2 3 8 4 2" xfId="4153" xr:uid="{C9F1024F-1D8B-414B-8873-0B7E5931D833}"/>
    <cellStyle name="Normal 4 2 3 8 4 3" xfId="4154" xr:uid="{3E504F2D-D127-4741-A337-740FC0B2AEA0}"/>
    <cellStyle name="Normal 4 2 3 8 5" xfId="4155" xr:uid="{BD818F4A-FB36-451F-8898-6BFB04B0F994}"/>
    <cellStyle name="Normal 4 2 3 8 6" xfId="4156" xr:uid="{3C4CE8E5-54B0-4179-A27A-B4871BF911E6}"/>
    <cellStyle name="Normal 4 2 3 8 7" xfId="4157" xr:uid="{A4C3BC89-AF5F-48CA-9325-B095680E7600}"/>
    <cellStyle name="Normal 4 2 3 9" xfId="4158" xr:uid="{0995B4E5-3AA3-4714-B898-715DE78D39E8}"/>
    <cellStyle name="Normal 4 2 3 9 2" xfId="4159" xr:uid="{ECD869D6-7E4A-4046-8C61-23AF9B9BF4BB}"/>
    <cellStyle name="Normal 4 2 3 9 2 2" xfId="4160" xr:uid="{23798914-708E-4F85-934E-13C69BDB391A}"/>
    <cellStyle name="Normal 4 2 3 9 2 3" xfId="4161" xr:uid="{956F43D2-B8E1-4070-B449-06B4EC752F5C}"/>
    <cellStyle name="Normal 4 2 3 9 3" xfId="4162" xr:uid="{D14A0819-72F6-4427-A6F1-49A1133C46C3}"/>
    <cellStyle name="Normal 4 2 3 9 4" xfId="4163" xr:uid="{D8416E8D-231A-4837-816E-C82DB0A13755}"/>
    <cellStyle name="Normal 4 2 3 9 5" xfId="4164" xr:uid="{DE85EA7A-2C74-4B20-8AF8-5A1AC997F0A9}"/>
    <cellStyle name="Normal 4 2 4" xfId="4165" xr:uid="{61E16168-98F2-474B-B730-D4C650E24507}"/>
    <cellStyle name="Normal 4 2 4 10" xfId="4166" xr:uid="{3D52CE19-D7DE-489E-82B4-F87AF8FDAD37}"/>
    <cellStyle name="Normal 4 2 4 11" xfId="4167" xr:uid="{1F1BBA62-2E05-46DF-88CF-44EA6D5B712F}"/>
    <cellStyle name="Normal 4 2 4 12" xfId="4168" xr:uid="{6A994900-7A52-46ED-90A1-A67300069277}"/>
    <cellStyle name="Normal 4 2 4 2" xfId="4169" xr:uid="{3FEC28B5-C3E1-4969-B0E7-BD0B8F712BE1}"/>
    <cellStyle name="Normal 4 2 4 2 2" xfId="4170" xr:uid="{F7433D4F-62DB-4F10-BB92-D3FA9C135D70}"/>
    <cellStyle name="Normal 4 2 4 2 2 2" xfId="4171" xr:uid="{19962D46-F6C8-4F4F-8EBB-10217CBA5D53}"/>
    <cellStyle name="Normal 4 2 4 2 2 2 2" xfId="4172" xr:uid="{87E8EFE9-945E-45CD-9358-21DB5923CE3C}"/>
    <cellStyle name="Normal 4 2 4 2 2 2 2 2" xfId="4173" xr:uid="{72AF34FD-4714-460D-9BFF-AC1ACB50D5C5}"/>
    <cellStyle name="Normal 4 2 4 2 2 2 2 2 2" xfId="4174" xr:uid="{6B05CD82-6315-4CC6-9505-E2399D32635C}"/>
    <cellStyle name="Normal 4 2 4 2 2 2 2 2 3" xfId="4175" xr:uid="{E3AA2915-8628-4B65-9856-152DB64045D7}"/>
    <cellStyle name="Normal 4 2 4 2 2 2 2 3" xfId="4176" xr:uid="{252D5F79-EA1F-4FFF-B4C0-354598A8746C}"/>
    <cellStyle name="Normal 4 2 4 2 2 2 2 4" xfId="4177" xr:uid="{35C37FAA-EC65-4953-9382-CBB4B2FB0DED}"/>
    <cellStyle name="Normal 4 2 4 2 2 2 2 5" xfId="4178" xr:uid="{507D7546-B500-4CB2-9BBF-8924A62E122C}"/>
    <cellStyle name="Normal 4 2 4 2 2 2 3" xfId="4179" xr:uid="{160F75F1-1A65-4B74-8A15-519CF22C7C2D}"/>
    <cellStyle name="Normal 4 2 4 2 2 2 3 2" xfId="4180" xr:uid="{711165C4-3BCA-4292-A2C5-2458D52457B6}"/>
    <cellStyle name="Normal 4 2 4 2 2 2 3 2 2" xfId="4181" xr:uid="{CE2C8B0F-700E-48B6-952D-F0C8269494F2}"/>
    <cellStyle name="Normal 4 2 4 2 2 2 3 2 3" xfId="4182" xr:uid="{1C06926C-A868-4276-91C2-570C384E469D}"/>
    <cellStyle name="Normal 4 2 4 2 2 2 3 3" xfId="4183" xr:uid="{C03A9806-CB6E-44F3-AD93-1BBC9C9B5CC7}"/>
    <cellStyle name="Normal 4 2 4 2 2 2 3 4" xfId="4184" xr:uid="{F29AC13C-7ABD-41EE-A459-D236E53336AC}"/>
    <cellStyle name="Normal 4 2 4 2 2 2 3 5" xfId="4185" xr:uid="{B909EC26-0B10-4F46-AC4E-57014A0B99D7}"/>
    <cellStyle name="Normal 4 2 4 2 2 2 4" xfId="4186" xr:uid="{E90D328A-BA1A-40F6-8A62-FCC77B1F71E2}"/>
    <cellStyle name="Normal 4 2 4 2 2 2 4 2" xfId="4187" xr:uid="{388FE7F2-380F-4A82-8082-C32F20F42364}"/>
    <cellStyle name="Normal 4 2 4 2 2 2 4 3" xfId="4188" xr:uid="{48554A65-4E25-4CD8-A663-1409802E4779}"/>
    <cellStyle name="Normal 4 2 4 2 2 2 5" xfId="4189" xr:uid="{517728BE-A933-4E12-B6FB-F99CC6292854}"/>
    <cellStyle name="Normal 4 2 4 2 2 2 6" xfId="4190" xr:uid="{ACB604DA-BB71-482D-A07C-F95AF6DF90C1}"/>
    <cellStyle name="Normal 4 2 4 2 2 2 7" xfId="4191" xr:uid="{C3117678-1DA8-44EF-B3AE-8D82D86FC565}"/>
    <cellStyle name="Normal 4 2 4 2 2 3" xfId="4192" xr:uid="{855F797F-1F90-4A87-ACEE-5D5BB981A6AC}"/>
    <cellStyle name="Normal 4 2 4 2 2 3 2" xfId="4193" xr:uid="{FCCE7310-B859-4BED-872B-D45A5235DBEE}"/>
    <cellStyle name="Normal 4 2 4 2 2 3 2 2" xfId="4194" xr:uid="{FAA67569-9E11-419F-96E0-01CFB3E09E01}"/>
    <cellStyle name="Normal 4 2 4 2 2 3 2 3" xfId="4195" xr:uid="{466AEF43-76B4-4A7C-9148-56890BDCD738}"/>
    <cellStyle name="Normal 4 2 4 2 2 3 3" xfId="4196" xr:uid="{84E0133C-6D80-49D8-AD85-25628B88E595}"/>
    <cellStyle name="Normal 4 2 4 2 2 3 4" xfId="4197" xr:uid="{9DBABEF3-2DC3-4B8F-8E5A-E4819C4AA731}"/>
    <cellStyle name="Normal 4 2 4 2 2 3 5" xfId="4198" xr:uid="{7ECBDBFF-6928-4CFE-8ABD-E9F0C2BE6A75}"/>
    <cellStyle name="Normal 4 2 4 2 2 4" xfId="4199" xr:uid="{D985FF14-A6AF-4695-8FB1-F0CC2D7B7688}"/>
    <cellStyle name="Normal 4 2 4 2 2 4 2" xfId="4200" xr:uid="{13B82608-37E3-425D-BF08-3EE5E9AF6A52}"/>
    <cellStyle name="Normal 4 2 4 2 2 4 2 2" xfId="4201" xr:uid="{A91E0C99-FD66-4BFE-90C2-0C9471477E60}"/>
    <cellStyle name="Normal 4 2 4 2 2 4 2 3" xfId="4202" xr:uid="{767FADF9-ED05-49E0-9BE0-3E2FAB8F08BF}"/>
    <cellStyle name="Normal 4 2 4 2 2 4 3" xfId="4203" xr:uid="{A4AF9840-CDE9-4628-B43A-F44C6F950540}"/>
    <cellStyle name="Normal 4 2 4 2 2 4 4" xfId="4204" xr:uid="{8BCF299B-CA30-48A8-A5E9-C57B3243856D}"/>
    <cellStyle name="Normal 4 2 4 2 2 4 5" xfId="4205" xr:uid="{92D79C36-98D8-44EA-9D74-CDBC216BA9C2}"/>
    <cellStyle name="Normal 4 2 4 2 2 5" xfId="4206" xr:uid="{B99786AB-FC81-4B85-A59C-1D04335CA9B2}"/>
    <cellStyle name="Normal 4 2 4 2 2 5 2" xfId="4207" xr:uid="{81DE3BEC-3E11-461C-8F07-CC8A185302B4}"/>
    <cellStyle name="Normal 4 2 4 2 2 5 3" xfId="4208" xr:uid="{47BD9CA5-1B1A-401F-9DAE-655CDE293E5D}"/>
    <cellStyle name="Normal 4 2 4 2 2 6" xfId="4209" xr:uid="{C7B39A17-CEF6-419C-8CAD-2A9954920104}"/>
    <cellStyle name="Normal 4 2 4 2 2 7" xfId="4210" xr:uid="{F110A5B4-6AF2-4B15-B65D-BCB0D4F0FCA4}"/>
    <cellStyle name="Normal 4 2 4 2 2 8" xfId="4211" xr:uid="{AD669166-4C22-42C4-B20D-EFCEA646A4A4}"/>
    <cellStyle name="Normal 4 2 4 2 3" xfId="4212" xr:uid="{8C043B2B-8119-47D7-BE30-1FAAD4B89C5A}"/>
    <cellStyle name="Normal 4 2 4 2 3 2" xfId="4213" xr:uid="{38237299-FE3F-48B9-A28E-B84C02A4B3E3}"/>
    <cellStyle name="Normal 4 2 4 2 3 2 2" xfId="4214" xr:uid="{D8BE2CF5-6B00-425E-867E-CAE78D04D235}"/>
    <cellStyle name="Normal 4 2 4 2 3 2 2 2" xfId="4215" xr:uid="{F9971BAB-F2A7-4458-8809-32B5BF5C1EF1}"/>
    <cellStyle name="Normal 4 2 4 2 3 2 2 3" xfId="4216" xr:uid="{F7F99315-329F-4E09-9DEF-C7F5AB7A92BE}"/>
    <cellStyle name="Normal 4 2 4 2 3 2 3" xfId="4217" xr:uid="{1F567E40-5AA7-444B-A4AC-408D8EF4EB53}"/>
    <cellStyle name="Normal 4 2 4 2 3 2 4" xfId="4218" xr:uid="{1054DA08-DDD4-4BC6-97EB-E035F28E9271}"/>
    <cellStyle name="Normal 4 2 4 2 3 2 5" xfId="4219" xr:uid="{33086476-F326-4478-9174-CA476CF985F8}"/>
    <cellStyle name="Normal 4 2 4 2 3 3" xfId="4220" xr:uid="{E82ABD69-2F41-4F2C-939B-CC1F0C8A7845}"/>
    <cellStyle name="Normal 4 2 4 2 3 3 2" xfId="4221" xr:uid="{09E1F49B-19C2-4ACF-85AF-36C260F86218}"/>
    <cellStyle name="Normal 4 2 4 2 3 3 2 2" xfId="4222" xr:uid="{48FCF0F6-FB77-4344-82F2-2CA247B6B232}"/>
    <cellStyle name="Normal 4 2 4 2 3 3 2 3" xfId="4223" xr:uid="{EAEA9E86-9A07-4DDB-92AF-232492378F6E}"/>
    <cellStyle name="Normal 4 2 4 2 3 3 3" xfId="4224" xr:uid="{52D95F50-C05F-4D02-BEDA-172BF6FB564F}"/>
    <cellStyle name="Normal 4 2 4 2 3 3 4" xfId="4225" xr:uid="{1F4288F6-DA9A-42BC-8398-33B356933911}"/>
    <cellStyle name="Normal 4 2 4 2 3 3 5" xfId="4226" xr:uid="{A59B33A4-7C14-47BA-9AF3-D70516732786}"/>
    <cellStyle name="Normal 4 2 4 2 3 4" xfId="4227" xr:uid="{5CA105A7-23B3-4394-ADCC-E4CABC8DF7B9}"/>
    <cellStyle name="Normal 4 2 4 2 3 4 2" xfId="4228" xr:uid="{04C7BDE5-A21C-4EE9-8B56-9811802D90F3}"/>
    <cellStyle name="Normal 4 2 4 2 3 4 3" xfId="4229" xr:uid="{04212AEC-426C-496D-BBD8-2E37E16EA348}"/>
    <cellStyle name="Normal 4 2 4 2 3 5" xfId="4230" xr:uid="{C4875ED7-5114-450B-9EEA-BB3CABA1349E}"/>
    <cellStyle name="Normal 4 2 4 2 3 6" xfId="4231" xr:uid="{6FB725BB-8B5A-402D-B8EF-E9AF8A4A750B}"/>
    <cellStyle name="Normal 4 2 4 2 3 7" xfId="4232" xr:uid="{6EFD8F90-7058-4F08-8D12-7E4E6E709386}"/>
    <cellStyle name="Normal 4 2 4 2 4" xfId="4233" xr:uid="{65BC4258-574B-4CA2-8190-E14FB1574C7D}"/>
    <cellStyle name="Normal 4 2 4 2 4 2" xfId="4234" xr:uid="{A2D10900-8C9A-4044-A95C-82023C23F138}"/>
    <cellStyle name="Normal 4 2 4 2 4 2 2" xfId="4235" xr:uid="{3C566D08-D161-485A-BD4A-469D918E8647}"/>
    <cellStyle name="Normal 4 2 4 2 4 2 3" xfId="4236" xr:uid="{46006C37-1F75-49C7-8AD1-22BAB6EEAF52}"/>
    <cellStyle name="Normal 4 2 4 2 4 3" xfId="4237" xr:uid="{6E08F43A-530E-4049-99E0-94826247F98C}"/>
    <cellStyle name="Normal 4 2 4 2 4 4" xfId="4238" xr:uid="{93C1366A-8CF4-4AAB-99AF-114755A314A9}"/>
    <cellStyle name="Normal 4 2 4 2 4 5" xfId="4239" xr:uid="{A4E401F1-EEFD-4F52-AA38-5F28AB4996FA}"/>
    <cellStyle name="Normal 4 2 4 2 5" xfId="4240" xr:uid="{7B2CCE0B-FAF6-4945-9065-AB1AECFDE620}"/>
    <cellStyle name="Normal 4 2 4 2 5 2" xfId="4241" xr:uid="{1EDD4894-EF7B-43F9-9717-2858D615814F}"/>
    <cellStyle name="Normal 4 2 4 2 5 2 2" xfId="4242" xr:uid="{18AB609D-B4F6-4774-820C-D6AB6D754FB9}"/>
    <cellStyle name="Normal 4 2 4 2 5 2 3" xfId="4243" xr:uid="{0B7DD39F-61C3-4809-976C-AD8D14B0D4EF}"/>
    <cellStyle name="Normal 4 2 4 2 5 3" xfId="4244" xr:uid="{FF3CD769-C908-4885-B11F-937EAE02FA00}"/>
    <cellStyle name="Normal 4 2 4 2 5 4" xfId="4245" xr:uid="{D90B8476-A823-4125-8504-32C1036706E6}"/>
    <cellStyle name="Normal 4 2 4 2 5 5" xfId="4246" xr:uid="{FCA5957F-C050-464C-AFB4-DDA52F6356DA}"/>
    <cellStyle name="Normal 4 2 4 2 6" xfId="4247" xr:uid="{A8AF3E58-63D3-4A3A-B6F3-6903E1A3BDD4}"/>
    <cellStyle name="Normal 4 2 4 2 6 2" xfId="4248" xr:uid="{BEF7BAD1-662F-462A-A677-9F80648ED29D}"/>
    <cellStyle name="Normal 4 2 4 2 6 3" xfId="4249" xr:uid="{4146D316-A494-44E7-A1B8-0AC86CF42E04}"/>
    <cellStyle name="Normal 4 2 4 2 7" xfId="4250" xr:uid="{C773B412-0130-44F4-A7E0-EA4852A03E92}"/>
    <cellStyle name="Normal 4 2 4 2 8" xfId="4251" xr:uid="{D5A598F7-26DB-4D47-A244-5C42B90E3755}"/>
    <cellStyle name="Normal 4 2 4 2 9" xfId="4252" xr:uid="{9D647A05-3116-46E2-A943-18A6AAE04A06}"/>
    <cellStyle name="Normal 4 2 4 3" xfId="4253" xr:uid="{BFA4FDDA-415D-4C50-BDC7-F55F2E6BFDDF}"/>
    <cellStyle name="Normal 4 2 4 3 2" xfId="4254" xr:uid="{4FF04B8F-0B60-4538-86BB-2F09A367CC1E}"/>
    <cellStyle name="Normal 4 2 4 3 2 2" xfId="4255" xr:uid="{517CF855-E1E9-4C33-9D4D-555974833E71}"/>
    <cellStyle name="Normal 4 2 4 3 2 2 2" xfId="4256" xr:uid="{3FC44189-9DBA-4092-AE58-3655CF1D9B79}"/>
    <cellStyle name="Normal 4 2 4 3 2 2 2 2" xfId="4257" xr:uid="{208A3524-1834-4DB6-AC8B-16562602E150}"/>
    <cellStyle name="Normal 4 2 4 3 2 2 2 2 2" xfId="4258" xr:uid="{31A9B1A7-E27B-4D21-8014-BB127FF9ACA4}"/>
    <cellStyle name="Normal 4 2 4 3 2 2 2 2 3" xfId="4259" xr:uid="{428505C0-46AC-4D80-98A8-C2ADF938B9E6}"/>
    <cellStyle name="Normal 4 2 4 3 2 2 2 3" xfId="4260" xr:uid="{C3440CA8-7334-4940-9149-744EEC5164E6}"/>
    <cellStyle name="Normal 4 2 4 3 2 2 2 4" xfId="4261" xr:uid="{4A5E3774-6FD5-4D18-A3F2-0F6772311876}"/>
    <cellStyle name="Normal 4 2 4 3 2 2 2 5" xfId="4262" xr:uid="{29D2B3DA-4590-46A1-833B-5DD811016914}"/>
    <cellStyle name="Normal 4 2 4 3 2 2 3" xfId="4263" xr:uid="{4EFAFD0E-F083-44D2-81AA-32AF4275041C}"/>
    <cellStyle name="Normal 4 2 4 3 2 2 3 2" xfId="4264" xr:uid="{7D54CBB2-06C6-4B4F-8F39-0C1D97533362}"/>
    <cellStyle name="Normal 4 2 4 3 2 2 3 2 2" xfId="4265" xr:uid="{BB3B9F20-5F31-44E9-8EF0-D4EB99ADFE6A}"/>
    <cellStyle name="Normal 4 2 4 3 2 2 3 2 3" xfId="4266" xr:uid="{13BEBB8C-B0E8-4CF3-AC5E-D9D5BAABD380}"/>
    <cellStyle name="Normal 4 2 4 3 2 2 3 3" xfId="4267" xr:uid="{B718821B-36CA-4FA7-B939-D48616AE97C6}"/>
    <cellStyle name="Normal 4 2 4 3 2 2 3 4" xfId="4268" xr:uid="{F5BAEB42-A268-491F-9AC1-E96F1DED8A1D}"/>
    <cellStyle name="Normal 4 2 4 3 2 2 3 5" xfId="4269" xr:uid="{654D78F8-934F-4F02-9B5B-6CCCC19C085A}"/>
    <cellStyle name="Normal 4 2 4 3 2 2 4" xfId="4270" xr:uid="{2EAD4EAA-5B90-49E5-B44A-89ABBC6598CA}"/>
    <cellStyle name="Normal 4 2 4 3 2 2 4 2" xfId="4271" xr:uid="{DC10F1DA-DFFD-4FCE-9E67-8CCAD35B6C99}"/>
    <cellStyle name="Normal 4 2 4 3 2 2 4 3" xfId="4272" xr:uid="{CB4CEB4C-5F56-46AD-82D2-653AEC392169}"/>
    <cellStyle name="Normal 4 2 4 3 2 2 5" xfId="4273" xr:uid="{43129267-A9BC-43C1-A85F-F71376CBE544}"/>
    <cellStyle name="Normal 4 2 4 3 2 2 6" xfId="4274" xr:uid="{5106DA49-CD52-4BD9-BA22-952521521E93}"/>
    <cellStyle name="Normal 4 2 4 3 2 2 7" xfId="4275" xr:uid="{9CD6821F-78AC-49D5-B899-A7BB078AFFA3}"/>
    <cellStyle name="Normal 4 2 4 3 2 3" xfId="4276" xr:uid="{5E129F17-93AE-4B3A-814F-86074C63D209}"/>
    <cellStyle name="Normal 4 2 4 3 2 3 2" xfId="4277" xr:uid="{F2CD69D9-A482-4547-9E34-5D8CF56F248C}"/>
    <cellStyle name="Normal 4 2 4 3 2 3 2 2" xfId="4278" xr:uid="{2EA56DCC-6166-40CE-BC45-3D80D932E186}"/>
    <cellStyle name="Normal 4 2 4 3 2 3 2 3" xfId="4279" xr:uid="{41F9BA42-82BC-47B7-A612-CDDB31F4C32B}"/>
    <cellStyle name="Normal 4 2 4 3 2 3 3" xfId="4280" xr:uid="{3408B8C3-6CD6-462D-A58E-2C51601DE6D8}"/>
    <cellStyle name="Normal 4 2 4 3 2 3 4" xfId="4281" xr:uid="{3C2F82FC-2508-4F5A-AE24-886AFCE9989F}"/>
    <cellStyle name="Normal 4 2 4 3 2 3 5" xfId="4282" xr:uid="{5303318C-1C0F-4980-9357-C63F1B4F008B}"/>
    <cellStyle name="Normal 4 2 4 3 2 4" xfId="4283" xr:uid="{51C4950E-AD32-4C56-B8A2-30410A8CCE8B}"/>
    <cellStyle name="Normal 4 2 4 3 2 4 2" xfId="4284" xr:uid="{11B6772B-C3B8-47F5-9DBE-E6C59D5121A0}"/>
    <cellStyle name="Normal 4 2 4 3 2 4 2 2" xfId="4285" xr:uid="{41C5D7CD-22E4-4537-812E-E4255EB215FE}"/>
    <cellStyle name="Normal 4 2 4 3 2 4 2 3" xfId="4286" xr:uid="{15FEAFDD-0288-4F5C-A0B9-39414C5D5C97}"/>
    <cellStyle name="Normal 4 2 4 3 2 4 3" xfId="4287" xr:uid="{372CDE67-7F6C-465B-A1E3-516339561732}"/>
    <cellStyle name="Normal 4 2 4 3 2 4 4" xfId="4288" xr:uid="{52B674A0-7BB4-495D-B5FC-45BE52A9E315}"/>
    <cellStyle name="Normal 4 2 4 3 2 4 5" xfId="4289" xr:uid="{F0375DA8-5393-4CE4-B2BD-EEAC0946E8B1}"/>
    <cellStyle name="Normal 4 2 4 3 2 5" xfId="4290" xr:uid="{8A5A15CF-B37F-4B8D-A08A-A1176BB68E8A}"/>
    <cellStyle name="Normal 4 2 4 3 2 5 2" xfId="4291" xr:uid="{8B931DFE-9206-408D-BCB7-8C1C4C479623}"/>
    <cellStyle name="Normal 4 2 4 3 2 5 3" xfId="4292" xr:uid="{ECAD20FA-5059-4105-B58F-A7943EEC2A73}"/>
    <cellStyle name="Normal 4 2 4 3 2 6" xfId="4293" xr:uid="{92600D55-57BB-46AA-9F90-ABF5F7573688}"/>
    <cellStyle name="Normal 4 2 4 3 2 7" xfId="4294" xr:uid="{E181F27A-1DB6-488F-A302-84A9064510E4}"/>
    <cellStyle name="Normal 4 2 4 3 2 8" xfId="4295" xr:uid="{55BF87AF-EC94-4371-881A-F7FA02F90601}"/>
    <cellStyle name="Normal 4 2 4 3 3" xfId="4296" xr:uid="{8C601C6E-9D2C-4FDF-8FAB-B6E0249CE8D1}"/>
    <cellStyle name="Normal 4 2 4 3 3 2" xfId="4297" xr:uid="{99C9FD2F-ED27-40B3-83A1-A032CA6C48F1}"/>
    <cellStyle name="Normal 4 2 4 3 3 2 2" xfId="4298" xr:uid="{02DEB26C-2D09-41D9-84A2-B3C06B201AA1}"/>
    <cellStyle name="Normal 4 2 4 3 3 2 2 2" xfId="4299" xr:uid="{C5D93CFC-3E9D-42A2-ABC6-B0D6C14F4C3F}"/>
    <cellStyle name="Normal 4 2 4 3 3 2 2 3" xfId="4300" xr:uid="{FEFB7A31-EEC8-49D6-880A-88EA0FE93BBD}"/>
    <cellStyle name="Normal 4 2 4 3 3 2 3" xfId="4301" xr:uid="{D4202642-0402-4676-B67B-71B2E952E752}"/>
    <cellStyle name="Normal 4 2 4 3 3 2 4" xfId="4302" xr:uid="{DF9F6D59-2023-4866-BB38-8ED25795C054}"/>
    <cellStyle name="Normal 4 2 4 3 3 2 5" xfId="4303" xr:uid="{5EA100FB-18E8-4AA5-B1CD-1182E1E33D98}"/>
    <cellStyle name="Normal 4 2 4 3 3 3" xfId="4304" xr:uid="{335BB988-F23E-4A7C-A971-5793956EB751}"/>
    <cellStyle name="Normal 4 2 4 3 3 3 2" xfId="4305" xr:uid="{490D27AD-93DA-4D8B-BE6F-7F634FE9C209}"/>
    <cellStyle name="Normal 4 2 4 3 3 3 2 2" xfId="4306" xr:uid="{6E89EB6F-DCC2-4896-9415-16B2A8FAB3A3}"/>
    <cellStyle name="Normal 4 2 4 3 3 3 2 3" xfId="4307" xr:uid="{452ACC9B-7AB2-47EE-9458-9559801D1EF0}"/>
    <cellStyle name="Normal 4 2 4 3 3 3 3" xfId="4308" xr:uid="{13DBC9E9-F19D-41DF-ABDB-CC3B1B6CB585}"/>
    <cellStyle name="Normal 4 2 4 3 3 3 4" xfId="4309" xr:uid="{1262315E-422B-4ED1-9AC0-E35F32B5312C}"/>
    <cellStyle name="Normal 4 2 4 3 3 3 5" xfId="4310" xr:uid="{E7D2453C-D493-426A-B173-C8F7DB5E721F}"/>
    <cellStyle name="Normal 4 2 4 3 3 4" xfId="4311" xr:uid="{C30CAD9B-5C8F-4016-B290-1FC9758D50CA}"/>
    <cellStyle name="Normal 4 2 4 3 3 4 2" xfId="4312" xr:uid="{ADF5B2A7-F6AD-4C70-9285-4159E9906019}"/>
    <cellStyle name="Normal 4 2 4 3 3 4 3" xfId="4313" xr:uid="{8EFA1AAF-F087-4CED-86A8-58609CAA1E2C}"/>
    <cellStyle name="Normal 4 2 4 3 3 5" xfId="4314" xr:uid="{B0555C6B-678B-4B30-95B6-7E815436D335}"/>
    <cellStyle name="Normal 4 2 4 3 3 6" xfId="4315" xr:uid="{69523DA8-78BF-49D7-AC7A-52AF84FB5D90}"/>
    <cellStyle name="Normal 4 2 4 3 3 7" xfId="4316" xr:uid="{C7C2AECB-A6DA-444B-85BF-209D62A3DCA8}"/>
    <cellStyle name="Normal 4 2 4 3 4" xfId="4317" xr:uid="{280916CA-1F13-4592-9DEF-C49CF307EF89}"/>
    <cellStyle name="Normal 4 2 4 3 4 2" xfId="4318" xr:uid="{09DDE445-AC4B-46AC-A959-49D3AE528DB8}"/>
    <cellStyle name="Normal 4 2 4 3 4 2 2" xfId="4319" xr:uid="{282CD5A1-9AE1-4C40-8946-891179623473}"/>
    <cellStyle name="Normal 4 2 4 3 4 2 3" xfId="4320" xr:uid="{EB8C924B-31EA-4F24-8BD2-3FD54C0333EC}"/>
    <cellStyle name="Normal 4 2 4 3 4 3" xfId="4321" xr:uid="{49E5C727-E078-4178-BB05-3A803E5A867D}"/>
    <cellStyle name="Normal 4 2 4 3 4 4" xfId="4322" xr:uid="{1AE53704-7614-4508-B260-D1EC048BDFDF}"/>
    <cellStyle name="Normal 4 2 4 3 4 5" xfId="4323" xr:uid="{52178F30-1A28-4AA4-811D-EDF7A97C9E26}"/>
    <cellStyle name="Normal 4 2 4 3 5" xfId="4324" xr:uid="{53F20AF1-AD77-4EF8-8C37-7585EEDCE6F9}"/>
    <cellStyle name="Normal 4 2 4 3 5 2" xfId="4325" xr:uid="{9693335B-666B-4853-A28A-2E472C69FC90}"/>
    <cellStyle name="Normal 4 2 4 3 5 2 2" xfId="4326" xr:uid="{2169D09F-72CF-44CD-9CB5-C4F5EAE010A4}"/>
    <cellStyle name="Normal 4 2 4 3 5 2 3" xfId="4327" xr:uid="{0F9D833F-D724-44B8-A365-EDC2B5BAD15E}"/>
    <cellStyle name="Normal 4 2 4 3 5 3" xfId="4328" xr:uid="{AF3B43B9-49EB-4307-84DC-4B655C805750}"/>
    <cellStyle name="Normal 4 2 4 3 5 4" xfId="4329" xr:uid="{A02B7405-2856-47AD-9CE0-B26C4FC78F00}"/>
    <cellStyle name="Normal 4 2 4 3 5 5" xfId="4330" xr:uid="{1D04EE9F-3027-44E8-A29F-0C7055F50733}"/>
    <cellStyle name="Normal 4 2 4 3 6" xfId="4331" xr:uid="{DA32B817-B992-44A5-92AC-1EFD0DF1EDA1}"/>
    <cellStyle name="Normal 4 2 4 3 6 2" xfId="4332" xr:uid="{E9405EF2-29CD-457B-9CA4-34665402F480}"/>
    <cellStyle name="Normal 4 2 4 3 6 3" xfId="4333" xr:uid="{52E17214-9263-436C-9724-F7D74E702ABF}"/>
    <cellStyle name="Normal 4 2 4 3 7" xfId="4334" xr:uid="{C5D1CB30-DA57-4889-BD1E-F6315984F2DA}"/>
    <cellStyle name="Normal 4 2 4 3 8" xfId="4335" xr:uid="{3979FCB0-37F0-4AE3-8F9F-F3533C15E48C}"/>
    <cellStyle name="Normal 4 2 4 3 9" xfId="4336" xr:uid="{04DC516C-DF0C-4F7C-8956-D4FBD4648606}"/>
    <cellStyle name="Normal 4 2 4 4" xfId="4337" xr:uid="{032A16A0-05EB-47E9-8DE7-BEAE0B1D6D9B}"/>
    <cellStyle name="Normal 4 2 4 4 2" xfId="4338" xr:uid="{E768993E-4726-480C-B6B0-ACC50538D9B8}"/>
    <cellStyle name="Normal 4 2 4 4 2 2" xfId="4339" xr:uid="{558DBF54-8384-4528-A782-87A41483E0E4}"/>
    <cellStyle name="Normal 4 2 4 4 2 2 2" xfId="4340" xr:uid="{E400223F-CF85-4688-BD39-BDB05449F6CB}"/>
    <cellStyle name="Normal 4 2 4 4 2 2 2 2" xfId="4341" xr:uid="{73408BAE-6D7D-488F-AC68-97DC934AC456}"/>
    <cellStyle name="Normal 4 2 4 4 2 2 2 2 2" xfId="4342" xr:uid="{75B3DFEB-66A1-4ABD-8896-CCADA1DE4193}"/>
    <cellStyle name="Normal 4 2 4 4 2 2 2 2 3" xfId="4343" xr:uid="{F20BB5A6-7974-475F-BBFF-5B9B43F0E95B}"/>
    <cellStyle name="Normal 4 2 4 4 2 2 2 3" xfId="4344" xr:uid="{C8570A4E-7E73-4E38-8973-FFDC3BF40382}"/>
    <cellStyle name="Normal 4 2 4 4 2 2 2 4" xfId="4345" xr:uid="{49248029-24D9-4613-8A69-E92909D758B9}"/>
    <cellStyle name="Normal 4 2 4 4 2 2 2 5" xfId="4346" xr:uid="{6AAC1312-8656-4372-8153-25ED55B6B89F}"/>
    <cellStyle name="Normal 4 2 4 4 2 2 3" xfId="4347" xr:uid="{E69366D2-F35F-4A12-B4B7-0F5B78A13FD8}"/>
    <cellStyle name="Normal 4 2 4 4 2 2 3 2" xfId="4348" xr:uid="{9A6C280D-75AC-4B4A-9EC1-5120FBB24AC5}"/>
    <cellStyle name="Normal 4 2 4 4 2 2 3 2 2" xfId="4349" xr:uid="{E2D05FB3-E42F-4616-8136-D39CC47F1574}"/>
    <cellStyle name="Normal 4 2 4 4 2 2 3 2 3" xfId="4350" xr:uid="{88C0A50F-5746-4AF2-B696-6B071BEB9448}"/>
    <cellStyle name="Normal 4 2 4 4 2 2 3 3" xfId="4351" xr:uid="{9A14AEA5-B45A-4120-8E54-C17BD0755B54}"/>
    <cellStyle name="Normal 4 2 4 4 2 2 3 4" xfId="4352" xr:uid="{93E32265-C552-470F-9CC7-DC3755300C77}"/>
    <cellStyle name="Normal 4 2 4 4 2 2 3 5" xfId="4353" xr:uid="{41E8C348-16F9-476C-9D00-280DB592925A}"/>
    <cellStyle name="Normal 4 2 4 4 2 2 4" xfId="4354" xr:uid="{9AFC1FC2-F9B6-47DE-968D-89CDBCED8C24}"/>
    <cellStyle name="Normal 4 2 4 4 2 2 4 2" xfId="4355" xr:uid="{B8E46EA3-DAA9-423B-ADCE-553CF48EB853}"/>
    <cellStyle name="Normal 4 2 4 4 2 2 4 3" xfId="4356" xr:uid="{CE3359F1-DB18-4087-8761-A34C8612CE37}"/>
    <cellStyle name="Normal 4 2 4 4 2 2 5" xfId="4357" xr:uid="{7D8178F8-586F-4597-86F7-36EDE6C897D5}"/>
    <cellStyle name="Normal 4 2 4 4 2 2 6" xfId="4358" xr:uid="{5DFB4254-9EDA-4DE2-A22F-6D81B3C65C26}"/>
    <cellStyle name="Normal 4 2 4 4 2 2 7" xfId="4359" xr:uid="{7442D756-69A1-4340-8376-55653310A3A7}"/>
    <cellStyle name="Normal 4 2 4 4 2 3" xfId="4360" xr:uid="{DDCAF943-2875-4498-B11F-367552EDC892}"/>
    <cellStyle name="Normal 4 2 4 4 2 3 2" xfId="4361" xr:uid="{CCAB0602-7DFA-4E8D-90CC-1A969F0E799D}"/>
    <cellStyle name="Normal 4 2 4 4 2 3 2 2" xfId="4362" xr:uid="{99F2A229-8258-45C5-A03A-01900571FCAA}"/>
    <cellStyle name="Normal 4 2 4 4 2 3 2 3" xfId="4363" xr:uid="{9CA4AAFE-9115-4BC6-B486-F154A60CE5C3}"/>
    <cellStyle name="Normal 4 2 4 4 2 3 3" xfId="4364" xr:uid="{7FAF0A14-0411-4CC8-872E-982CBB4787E6}"/>
    <cellStyle name="Normal 4 2 4 4 2 3 4" xfId="4365" xr:uid="{A3CC6C60-6610-4446-A0F6-1B5C7DC05035}"/>
    <cellStyle name="Normal 4 2 4 4 2 3 5" xfId="4366" xr:uid="{C46C07A0-65E4-4B38-8CE0-EE4619A16C0F}"/>
    <cellStyle name="Normal 4 2 4 4 2 4" xfId="4367" xr:uid="{33DABB93-47B9-4299-8BBC-0C74CC571701}"/>
    <cellStyle name="Normal 4 2 4 4 2 4 2" xfId="4368" xr:uid="{11568A10-63B3-442A-BDB4-C2ED8304FE03}"/>
    <cellStyle name="Normal 4 2 4 4 2 4 2 2" xfId="4369" xr:uid="{27A22809-6840-41F2-A551-87611F2FAF84}"/>
    <cellStyle name="Normal 4 2 4 4 2 4 2 3" xfId="4370" xr:uid="{C9A17BDA-622A-48B9-8090-9C8A2F447CC3}"/>
    <cellStyle name="Normal 4 2 4 4 2 4 3" xfId="4371" xr:uid="{3A5033F4-3249-4775-A47D-2CDAF5757264}"/>
    <cellStyle name="Normal 4 2 4 4 2 4 4" xfId="4372" xr:uid="{484E64F0-D8EE-4C3D-AE5E-B206BFE5B727}"/>
    <cellStyle name="Normal 4 2 4 4 2 4 5" xfId="4373" xr:uid="{F4BCA970-12E4-42D1-9C9E-A6454972A066}"/>
    <cellStyle name="Normal 4 2 4 4 2 5" xfId="4374" xr:uid="{8A252360-9E5D-4C01-980B-C28678875964}"/>
    <cellStyle name="Normal 4 2 4 4 2 5 2" xfId="4375" xr:uid="{8BF24AE2-B9C8-4302-9219-AA2774F69CDC}"/>
    <cellStyle name="Normal 4 2 4 4 2 5 3" xfId="4376" xr:uid="{8678939D-3091-4EDB-8204-95161CA7CAE0}"/>
    <cellStyle name="Normal 4 2 4 4 2 6" xfId="4377" xr:uid="{3B4FAD09-7536-4720-8F3F-96526A71F662}"/>
    <cellStyle name="Normal 4 2 4 4 2 7" xfId="4378" xr:uid="{9162C90E-8343-4603-A23C-28E14A6478A5}"/>
    <cellStyle name="Normal 4 2 4 4 2 8" xfId="4379" xr:uid="{A135E7F2-7321-4096-8B90-65A6BF21C629}"/>
    <cellStyle name="Normal 4 2 4 4 3" xfId="4380" xr:uid="{BA21EE25-A4AF-49A0-944E-78AC6B908021}"/>
    <cellStyle name="Normal 4 2 4 4 3 2" xfId="4381" xr:uid="{99014A7A-EA96-416E-844E-0CF552D851A9}"/>
    <cellStyle name="Normal 4 2 4 4 3 2 2" xfId="4382" xr:uid="{0C51EA71-14CB-4773-BFD5-717EBD9DEA8C}"/>
    <cellStyle name="Normal 4 2 4 4 3 2 2 2" xfId="4383" xr:uid="{4FA42A16-B805-41E3-A6A3-914ACCD9673A}"/>
    <cellStyle name="Normal 4 2 4 4 3 2 2 3" xfId="4384" xr:uid="{92E3FA00-AF7C-4DA9-BF3E-7DA074834827}"/>
    <cellStyle name="Normal 4 2 4 4 3 2 3" xfId="4385" xr:uid="{2DF2F11C-961A-453D-9B2A-3E493983B5B5}"/>
    <cellStyle name="Normal 4 2 4 4 3 2 4" xfId="4386" xr:uid="{97B3BE00-1755-45E1-8369-63800783A97E}"/>
    <cellStyle name="Normal 4 2 4 4 3 2 5" xfId="4387" xr:uid="{05DCEB43-D71D-4746-8E6F-59AC5A548F8A}"/>
    <cellStyle name="Normal 4 2 4 4 3 3" xfId="4388" xr:uid="{EC702B0E-BC34-4D11-8C3B-587D716B4506}"/>
    <cellStyle name="Normal 4 2 4 4 3 3 2" xfId="4389" xr:uid="{409ED87C-2044-4C77-9057-89883DD9B0B2}"/>
    <cellStyle name="Normal 4 2 4 4 3 3 2 2" xfId="4390" xr:uid="{2FA4D90D-4D46-4648-A492-0B0115FE0EA3}"/>
    <cellStyle name="Normal 4 2 4 4 3 3 2 3" xfId="4391" xr:uid="{2E99A3C6-835C-4370-9319-D7C5942B91BA}"/>
    <cellStyle name="Normal 4 2 4 4 3 3 3" xfId="4392" xr:uid="{0D1E7953-CFCD-4308-A767-DF9E415DFDE4}"/>
    <cellStyle name="Normal 4 2 4 4 3 3 4" xfId="4393" xr:uid="{E5A6E249-6E68-4F4D-A52D-E0B51D616305}"/>
    <cellStyle name="Normal 4 2 4 4 3 3 5" xfId="4394" xr:uid="{D5FB2665-F9CE-455B-9BEF-E392887F9962}"/>
    <cellStyle name="Normal 4 2 4 4 3 4" xfId="4395" xr:uid="{CE40FE56-2A36-4BA0-8D94-5EF2C4ED858D}"/>
    <cellStyle name="Normal 4 2 4 4 3 4 2" xfId="4396" xr:uid="{9E014FB8-2F2F-4378-A4A6-B2EF6D2C7C54}"/>
    <cellStyle name="Normal 4 2 4 4 3 4 3" xfId="4397" xr:uid="{07ED088F-72B8-4017-9AC9-404E60B4F47E}"/>
    <cellStyle name="Normal 4 2 4 4 3 5" xfId="4398" xr:uid="{DE399A22-8446-454B-A820-766ACC81AD75}"/>
    <cellStyle name="Normal 4 2 4 4 3 6" xfId="4399" xr:uid="{6C5E31F9-AA2F-4401-85FA-444D6791A696}"/>
    <cellStyle name="Normal 4 2 4 4 3 7" xfId="4400" xr:uid="{53D422A3-4E76-4FCF-8B18-A67B88A5EB63}"/>
    <cellStyle name="Normal 4 2 4 4 4" xfId="4401" xr:uid="{726FB7DD-0051-49F8-B586-0D8525C91328}"/>
    <cellStyle name="Normal 4 2 4 4 4 2" xfId="4402" xr:uid="{6AB3108C-6D60-48C3-808B-E0F42792B04D}"/>
    <cellStyle name="Normal 4 2 4 4 4 2 2" xfId="4403" xr:uid="{B0B8DF15-DCE4-464A-91D0-3108DA50D64C}"/>
    <cellStyle name="Normal 4 2 4 4 4 2 3" xfId="4404" xr:uid="{A8A284DD-CD21-42E8-9352-57FA0DC936D0}"/>
    <cellStyle name="Normal 4 2 4 4 4 3" xfId="4405" xr:uid="{87B2D34C-A590-4D02-A9D0-ADEF12B1DAA9}"/>
    <cellStyle name="Normal 4 2 4 4 4 4" xfId="4406" xr:uid="{16B2741F-1D84-489F-BE21-A611DFC0D402}"/>
    <cellStyle name="Normal 4 2 4 4 4 5" xfId="4407" xr:uid="{50FA414B-26D4-4077-BEB2-11AE8A9AAEEB}"/>
    <cellStyle name="Normal 4 2 4 4 5" xfId="4408" xr:uid="{4D89E233-E38A-4E68-BC60-B375AB2280F0}"/>
    <cellStyle name="Normal 4 2 4 4 5 2" xfId="4409" xr:uid="{1A8CDB16-FDEE-435E-8A97-877CB0E9A4AD}"/>
    <cellStyle name="Normal 4 2 4 4 5 2 2" xfId="4410" xr:uid="{9857206D-35F0-4204-9FB7-1901E4D86862}"/>
    <cellStyle name="Normal 4 2 4 4 5 2 3" xfId="4411" xr:uid="{33299B66-49CB-4DAF-8D3F-45B7E3151B3B}"/>
    <cellStyle name="Normal 4 2 4 4 5 3" xfId="4412" xr:uid="{4185A7AD-C3C8-4A85-B919-08B358185A91}"/>
    <cellStyle name="Normal 4 2 4 4 5 4" xfId="4413" xr:uid="{8781C0A8-D277-443B-A952-8ABA6770A4A8}"/>
    <cellStyle name="Normal 4 2 4 4 5 5" xfId="4414" xr:uid="{5A3FDB17-BB24-4A59-BCF2-737CED9601B0}"/>
    <cellStyle name="Normal 4 2 4 4 6" xfId="4415" xr:uid="{390DE0C9-7270-4826-98A7-24EF01CE125F}"/>
    <cellStyle name="Normal 4 2 4 4 6 2" xfId="4416" xr:uid="{097610D5-B149-4F1E-BABC-7AFC30930383}"/>
    <cellStyle name="Normal 4 2 4 4 6 3" xfId="4417" xr:uid="{70B17457-611C-4E74-8834-34CAB0CB132C}"/>
    <cellStyle name="Normal 4 2 4 4 7" xfId="4418" xr:uid="{77D15EE3-9F7A-40BE-9F1B-70F5CAEC70C4}"/>
    <cellStyle name="Normal 4 2 4 4 8" xfId="4419" xr:uid="{9980C819-F8F9-4E83-90BF-A22747AC0692}"/>
    <cellStyle name="Normal 4 2 4 4 9" xfId="4420" xr:uid="{3520FA64-C6E4-4075-BAAD-FD634B7AA4FA}"/>
    <cellStyle name="Normal 4 2 4 5" xfId="4421" xr:uid="{2A3722FA-5439-4A23-9C95-E38BB3C0C1BF}"/>
    <cellStyle name="Normal 4 2 4 5 2" xfId="4422" xr:uid="{7EE3C25A-9980-46D6-8978-90AD709C49F5}"/>
    <cellStyle name="Normal 4 2 4 5 2 2" xfId="4423" xr:uid="{4C5D0E1B-38CE-4DFA-866F-18C8703BD0DF}"/>
    <cellStyle name="Normal 4 2 4 5 2 2 2" xfId="4424" xr:uid="{6C401092-DD7D-4CD8-987C-2438D3970283}"/>
    <cellStyle name="Normal 4 2 4 5 2 2 2 2" xfId="4425" xr:uid="{76B16BAB-51BF-49B2-9CD5-793A7D37F8E9}"/>
    <cellStyle name="Normal 4 2 4 5 2 2 2 3" xfId="4426" xr:uid="{7DA3864E-997D-4513-ADF1-D1FFDD555346}"/>
    <cellStyle name="Normal 4 2 4 5 2 2 3" xfId="4427" xr:uid="{3D9D327C-9404-483B-BE5E-F3B8B3559D7A}"/>
    <cellStyle name="Normal 4 2 4 5 2 2 4" xfId="4428" xr:uid="{6EE93C45-ED9D-444F-8E6D-E6FD05882BD3}"/>
    <cellStyle name="Normal 4 2 4 5 2 2 5" xfId="4429" xr:uid="{C5FE5647-1585-41DB-9707-59F609EEB449}"/>
    <cellStyle name="Normal 4 2 4 5 2 3" xfId="4430" xr:uid="{3EB2F3BA-AEEB-4960-82A8-68DEE4DF409C}"/>
    <cellStyle name="Normal 4 2 4 5 2 3 2" xfId="4431" xr:uid="{9FA58E60-22C7-4E9C-8E96-760F65CB547D}"/>
    <cellStyle name="Normal 4 2 4 5 2 3 2 2" xfId="4432" xr:uid="{397C5DD7-4405-4F36-A5EC-ED1552DFF9FE}"/>
    <cellStyle name="Normal 4 2 4 5 2 3 2 3" xfId="4433" xr:uid="{8EE3A910-FF8D-4255-B74A-FDDE19BE6C9F}"/>
    <cellStyle name="Normal 4 2 4 5 2 3 3" xfId="4434" xr:uid="{1D1BC9BC-1560-4AD8-92ED-089460A45B98}"/>
    <cellStyle name="Normal 4 2 4 5 2 3 4" xfId="4435" xr:uid="{4F90835B-3868-4194-9C66-264C8EA4AE4B}"/>
    <cellStyle name="Normal 4 2 4 5 2 3 5" xfId="4436" xr:uid="{6E5B4C1C-13BF-433D-9DDF-EE375B19FFD3}"/>
    <cellStyle name="Normal 4 2 4 5 2 4" xfId="4437" xr:uid="{962F82F0-FEC7-4432-B937-71236F312081}"/>
    <cellStyle name="Normal 4 2 4 5 2 4 2" xfId="4438" xr:uid="{38B2832C-96E7-4545-B15B-0A80D2FF720E}"/>
    <cellStyle name="Normal 4 2 4 5 2 4 3" xfId="4439" xr:uid="{D0E8BCC9-2C23-4F9F-8942-0C53D887D237}"/>
    <cellStyle name="Normal 4 2 4 5 2 5" xfId="4440" xr:uid="{3F3369BB-B82A-4976-B34E-8EB37EB517B7}"/>
    <cellStyle name="Normal 4 2 4 5 2 6" xfId="4441" xr:uid="{3A2AE2A8-BE97-45B7-80D3-3B23C2CD5F4D}"/>
    <cellStyle name="Normal 4 2 4 5 2 7" xfId="4442" xr:uid="{E9141B8B-3618-40C3-943C-9845BF0BB6FB}"/>
    <cellStyle name="Normal 4 2 4 5 3" xfId="4443" xr:uid="{5B4AE8F1-EEFF-4CD5-8C14-C326FF3BA6F0}"/>
    <cellStyle name="Normal 4 2 4 5 3 2" xfId="4444" xr:uid="{DBADD4FC-E1AE-478B-8450-4E2196819AB1}"/>
    <cellStyle name="Normal 4 2 4 5 3 2 2" xfId="4445" xr:uid="{3D6B16EA-3129-4890-A2C8-5DF62B20F6EA}"/>
    <cellStyle name="Normal 4 2 4 5 3 2 3" xfId="4446" xr:uid="{68F1507C-9A58-4B31-B2C2-2E8107D12B05}"/>
    <cellStyle name="Normal 4 2 4 5 3 3" xfId="4447" xr:uid="{23A7C52A-F780-4E90-AD8E-DEF43D63D3AB}"/>
    <cellStyle name="Normal 4 2 4 5 3 4" xfId="4448" xr:uid="{0FE1E26D-B5E3-4F56-BA2C-0295F256376A}"/>
    <cellStyle name="Normal 4 2 4 5 3 5" xfId="4449" xr:uid="{84E968C4-5FA4-422F-A96F-3771BBD8C74F}"/>
    <cellStyle name="Normal 4 2 4 5 4" xfId="4450" xr:uid="{F17BB80B-7876-4BB5-8782-BD9B65B8E9E8}"/>
    <cellStyle name="Normal 4 2 4 5 4 2" xfId="4451" xr:uid="{0EE5602D-DEED-442E-9AEC-2843ABD4432D}"/>
    <cellStyle name="Normal 4 2 4 5 4 2 2" xfId="4452" xr:uid="{3111FDF8-F954-4C4E-8E20-14F6E4E8FE75}"/>
    <cellStyle name="Normal 4 2 4 5 4 2 3" xfId="4453" xr:uid="{D1306CC0-6403-4D6B-B6B6-7D64BD046967}"/>
    <cellStyle name="Normal 4 2 4 5 4 3" xfId="4454" xr:uid="{8A3276D1-E270-46EE-944E-24DB38EF8681}"/>
    <cellStyle name="Normal 4 2 4 5 4 4" xfId="4455" xr:uid="{2DFA4A95-EA09-4BAE-868B-C00770C19CB0}"/>
    <cellStyle name="Normal 4 2 4 5 4 5" xfId="4456" xr:uid="{0FED430E-8954-46E2-B63D-482C365C456F}"/>
    <cellStyle name="Normal 4 2 4 5 5" xfId="4457" xr:uid="{EFFB0634-9CEC-4FA0-AD97-B623212E1582}"/>
    <cellStyle name="Normal 4 2 4 5 5 2" xfId="4458" xr:uid="{2C65C3BD-D948-4FA7-9F0C-2FA0F268296C}"/>
    <cellStyle name="Normal 4 2 4 5 5 3" xfId="4459" xr:uid="{13188D16-8ACB-40BC-9129-B55FF99804CE}"/>
    <cellStyle name="Normal 4 2 4 5 6" xfId="4460" xr:uid="{939C764A-B71A-44B6-80CD-27291A2CF488}"/>
    <cellStyle name="Normal 4 2 4 5 7" xfId="4461" xr:uid="{616B84E0-79E0-4C82-8EA4-3F2B66B3470E}"/>
    <cellStyle name="Normal 4 2 4 5 8" xfId="4462" xr:uid="{0DD84739-3A49-4904-BBBE-D4F2FDBEDAC3}"/>
    <cellStyle name="Normal 4 2 4 6" xfId="4463" xr:uid="{719FB6E6-FE31-4291-93E8-D05D55CD6150}"/>
    <cellStyle name="Normal 4 2 4 6 2" xfId="4464" xr:uid="{ED98BCDA-19F2-4E46-B76D-9C92046BC0D3}"/>
    <cellStyle name="Normal 4 2 4 6 2 2" xfId="4465" xr:uid="{D58D96F2-B17F-4685-8607-758B60F40374}"/>
    <cellStyle name="Normal 4 2 4 6 2 2 2" xfId="4466" xr:uid="{755EEE1E-FD09-4D5E-9D97-13EB7B95569A}"/>
    <cellStyle name="Normal 4 2 4 6 2 2 3" xfId="4467" xr:uid="{0F7B136E-F963-4646-AA5D-0B19A24CD80F}"/>
    <cellStyle name="Normal 4 2 4 6 2 3" xfId="4468" xr:uid="{3C6FBF6F-7355-4B2C-82C6-5CFCBEC6C56E}"/>
    <cellStyle name="Normal 4 2 4 6 2 4" xfId="4469" xr:uid="{D3296CD7-B855-4BF2-9995-D354CA07AE31}"/>
    <cellStyle name="Normal 4 2 4 6 2 5" xfId="4470" xr:uid="{2384364D-EE34-4336-A0C8-FFD7B8236B17}"/>
    <cellStyle name="Normal 4 2 4 6 3" xfId="4471" xr:uid="{9E8D17E8-3D01-4088-9EA8-AD3B34048368}"/>
    <cellStyle name="Normal 4 2 4 6 3 2" xfId="4472" xr:uid="{FA0E95E8-6E99-4ED2-B579-9A915B79AA3D}"/>
    <cellStyle name="Normal 4 2 4 6 3 2 2" xfId="4473" xr:uid="{F62F0708-BBB1-4E85-A123-34A47DBDAFDE}"/>
    <cellStyle name="Normal 4 2 4 6 3 2 3" xfId="4474" xr:uid="{0A8C94C1-19A4-4192-998D-BA83F1847E09}"/>
    <cellStyle name="Normal 4 2 4 6 3 3" xfId="4475" xr:uid="{D94460E9-B922-4CCD-87B5-E1ED60A5A291}"/>
    <cellStyle name="Normal 4 2 4 6 3 4" xfId="4476" xr:uid="{C62EBD4A-9757-4480-BC85-62CE9DFE7810}"/>
    <cellStyle name="Normal 4 2 4 6 3 5" xfId="4477" xr:uid="{A20D7ECC-3C6C-4A5D-9CCD-8619903A331D}"/>
    <cellStyle name="Normal 4 2 4 6 4" xfId="4478" xr:uid="{CE5AC02F-2248-4304-8CF1-E8C2D1469A44}"/>
    <cellStyle name="Normal 4 2 4 6 4 2" xfId="4479" xr:uid="{32446084-258C-40DC-9139-12C84131CAB2}"/>
    <cellStyle name="Normal 4 2 4 6 4 3" xfId="4480" xr:uid="{2686DFB0-080F-439D-8697-BD8EC447C3D7}"/>
    <cellStyle name="Normal 4 2 4 6 5" xfId="4481" xr:uid="{6B20B31D-63D5-4168-9782-CF830304E6D4}"/>
    <cellStyle name="Normal 4 2 4 6 6" xfId="4482" xr:uid="{4F230A04-43BC-4567-9E35-1B12CFAB001B}"/>
    <cellStyle name="Normal 4 2 4 6 7" xfId="4483" xr:uid="{480E0B42-23ED-4A02-9703-1E5869779372}"/>
    <cellStyle name="Normal 4 2 4 7" xfId="4484" xr:uid="{D683269C-1DDB-4223-8C3F-204A7FAD4719}"/>
    <cellStyle name="Normal 4 2 4 7 2" xfId="4485" xr:uid="{633BA4F6-39B7-4C85-BD72-527976000540}"/>
    <cellStyle name="Normal 4 2 4 7 2 2" xfId="4486" xr:uid="{2EA8461C-1ACA-41CE-8F8A-1E8F9E2AE0ED}"/>
    <cellStyle name="Normal 4 2 4 7 2 3" xfId="4487" xr:uid="{9509C28E-C876-43EB-9CA2-00270AAA2FD4}"/>
    <cellStyle name="Normal 4 2 4 7 3" xfId="4488" xr:uid="{673CDD56-4119-4206-8D6C-35D8E05D7367}"/>
    <cellStyle name="Normal 4 2 4 7 4" xfId="4489" xr:uid="{41BF4A07-0DA1-440F-90B9-45382AFC29A6}"/>
    <cellStyle name="Normal 4 2 4 7 5" xfId="4490" xr:uid="{BD681B78-3AF3-404F-9350-F04BA25AC5F9}"/>
    <cellStyle name="Normal 4 2 4 8" xfId="4491" xr:uid="{1E6304A3-A095-4B6A-9D90-97DB04143E15}"/>
    <cellStyle name="Normal 4 2 4 8 2" xfId="4492" xr:uid="{9A7EB882-F50E-46AE-A90C-783660D25BCF}"/>
    <cellStyle name="Normal 4 2 4 8 2 2" xfId="4493" xr:uid="{A8AA899F-04DA-4B2F-8F36-5F884F57ED82}"/>
    <cellStyle name="Normal 4 2 4 8 2 3" xfId="4494" xr:uid="{A1439267-8A8C-47DF-B571-E8F0C09EDB75}"/>
    <cellStyle name="Normal 4 2 4 8 3" xfId="4495" xr:uid="{7064E6CD-39C7-44FA-9535-BFB14B1D11EA}"/>
    <cellStyle name="Normal 4 2 4 8 4" xfId="4496" xr:uid="{6D2F838C-2A11-49BC-9C39-C73A0044B9D5}"/>
    <cellStyle name="Normal 4 2 4 8 5" xfId="4497" xr:uid="{AE963B06-526B-4B4A-99A9-483838C49F3E}"/>
    <cellStyle name="Normal 4 2 4 9" xfId="4498" xr:uid="{F0A3F4E0-628D-47E1-B99C-11C91C010B8A}"/>
    <cellStyle name="Normal 4 2 4 9 2" xfId="4499" xr:uid="{4388A53A-C00A-407B-B70B-D256A3572554}"/>
    <cellStyle name="Normal 4 2 4 9 3" xfId="4500" xr:uid="{46B8DA6F-907F-42D0-95BE-BD409D248B3C}"/>
    <cellStyle name="Normal 4 2 5" xfId="4501" xr:uid="{BB14194B-0DF3-4D0C-84F3-0CDA842F2174}"/>
    <cellStyle name="Normal 4 2 5 2" xfId="4502" xr:uid="{DA26FE74-58D7-4BF2-B6E3-4391BC735648}"/>
    <cellStyle name="Normal 4 2 5 2 2" xfId="4503" xr:uid="{FABD9EDB-742F-4EBE-8AC5-C0118C27AADE}"/>
    <cellStyle name="Normal 4 2 5 2 2 2" xfId="4504" xr:uid="{F34F9828-9282-4E28-90C0-F28F0543569A}"/>
    <cellStyle name="Normal 4 2 5 2 2 2 2" xfId="4505" xr:uid="{AC63D6D9-FBF9-4E31-AA6D-E6801F8A5658}"/>
    <cellStyle name="Normal 4 2 5 2 2 2 2 2" xfId="4506" xr:uid="{CEC87227-1ADA-4D81-9B6A-E1FCD90DBFC0}"/>
    <cellStyle name="Normal 4 2 5 2 2 2 2 3" xfId="4507" xr:uid="{94EAF77D-0BF1-4EA8-B43D-6DC0ACF310CB}"/>
    <cellStyle name="Normal 4 2 5 2 2 2 3" xfId="4508" xr:uid="{6E6CD815-4F02-40EC-8403-BC447E62070B}"/>
    <cellStyle name="Normal 4 2 5 2 2 2 4" xfId="4509" xr:uid="{75404311-BDB9-40F1-8C1F-E0068DE9058B}"/>
    <cellStyle name="Normal 4 2 5 2 2 2 5" xfId="4510" xr:uid="{265A3254-FFA5-4E32-9325-84A62B498EA2}"/>
    <cellStyle name="Normal 4 2 5 2 2 3" xfId="4511" xr:uid="{27D1699B-A77A-4C89-96BF-E6298BB5CB4E}"/>
    <cellStyle name="Normal 4 2 5 2 2 3 2" xfId="4512" xr:uid="{CCC37199-92FF-4CF3-86D3-0FE7E67ED744}"/>
    <cellStyle name="Normal 4 2 5 2 2 3 2 2" xfId="4513" xr:uid="{A1E30D66-A59A-48D2-9026-F6E1C498D645}"/>
    <cellStyle name="Normal 4 2 5 2 2 3 2 3" xfId="4514" xr:uid="{5A79A340-F400-4E16-A30A-15799A5415A8}"/>
    <cellStyle name="Normal 4 2 5 2 2 3 3" xfId="4515" xr:uid="{744DFC8F-BC0D-4A35-811D-5FC03841BF0E}"/>
    <cellStyle name="Normal 4 2 5 2 2 3 4" xfId="4516" xr:uid="{6025A73A-75B1-463A-8014-7C79B8967526}"/>
    <cellStyle name="Normal 4 2 5 2 2 3 5" xfId="4517" xr:uid="{BB77BEC2-3C6B-4BB1-B497-5831F108AD05}"/>
    <cellStyle name="Normal 4 2 5 2 2 4" xfId="4518" xr:uid="{AB0998A3-37E4-474E-96CC-93434EF2CBB7}"/>
    <cellStyle name="Normal 4 2 5 2 2 4 2" xfId="4519" xr:uid="{77D8E25B-29C7-4DB1-98E0-05ADB6216DEE}"/>
    <cellStyle name="Normal 4 2 5 2 2 4 3" xfId="4520" xr:uid="{74A84AE5-4CD8-496C-9174-242FA3942A6E}"/>
    <cellStyle name="Normal 4 2 5 2 2 5" xfId="4521" xr:uid="{5256E556-4124-48F2-AAA0-4B20B7A088F0}"/>
    <cellStyle name="Normal 4 2 5 2 2 6" xfId="4522" xr:uid="{377FC2FA-07DA-4B38-B2BB-6F928D27C8FB}"/>
    <cellStyle name="Normal 4 2 5 2 2 7" xfId="4523" xr:uid="{67B47B89-905E-4B97-BFF1-D725AE04FFA2}"/>
    <cellStyle name="Normal 4 2 5 2 3" xfId="4524" xr:uid="{A8D7F2F2-0D3A-4A32-8EFA-F23CC5B9D86A}"/>
    <cellStyle name="Normal 4 2 5 2 3 2" xfId="4525" xr:uid="{1F761C95-0E25-4AF4-A0B5-5467B8D99E98}"/>
    <cellStyle name="Normal 4 2 5 2 3 2 2" xfId="4526" xr:uid="{A40A603C-82C4-4691-8EBC-5F0469BEAE4F}"/>
    <cellStyle name="Normal 4 2 5 2 3 2 3" xfId="4527" xr:uid="{C2B5A5E9-05DB-4E04-96BC-B6725A5C5C91}"/>
    <cellStyle name="Normal 4 2 5 2 3 3" xfId="4528" xr:uid="{BD173A23-D942-4861-9517-6F30D9CCB26B}"/>
    <cellStyle name="Normal 4 2 5 2 3 4" xfId="4529" xr:uid="{5E370B23-831D-4198-B739-7FE9FC4C299D}"/>
    <cellStyle name="Normal 4 2 5 2 3 5" xfId="4530" xr:uid="{FA116015-D9B4-4EF8-ADDC-5F196170E6B4}"/>
    <cellStyle name="Normal 4 2 5 2 4" xfId="4531" xr:uid="{A431F474-9561-4A1C-80D8-141EC4353234}"/>
    <cellStyle name="Normal 4 2 5 2 4 2" xfId="4532" xr:uid="{47851CFD-BB32-40CE-AD82-4C3A333C7EA3}"/>
    <cellStyle name="Normal 4 2 5 2 4 2 2" xfId="4533" xr:uid="{DB8C484D-FB25-416B-B457-9BE61211CFA2}"/>
    <cellStyle name="Normal 4 2 5 2 4 2 3" xfId="4534" xr:uid="{ACB4689E-2351-4F91-AC7F-495C7873120D}"/>
    <cellStyle name="Normal 4 2 5 2 4 3" xfId="4535" xr:uid="{55B6B0B7-256D-4063-845D-A1F49760C5A3}"/>
    <cellStyle name="Normal 4 2 5 2 4 4" xfId="4536" xr:uid="{DB8DF8E5-9257-4B46-9ED9-4BF00CFACD55}"/>
    <cellStyle name="Normal 4 2 5 2 4 5" xfId="4537" xr:uid="{92E8F40F-CA1D-4E74-9128-84E0F9687982}"/>
    <cellStyle name="Normal 4 2 5 2 5" xfId="4538" xr:uid="{609B1720-68D9-4159-B83B-0EE6732125DB}"/>
    <cellStyle name="Normal 4 2 5 2 5 2" xfId="4539" xr:uid="{3D0F7949-231A-4987-B406-A29F70291AF0}"/>
    <cellStyle name="Normal 4 2 5 2 5 3" xfId="4540" xr:uid="{CFCA82BD-5A84-42A3-A256-51F2AB3A5912}"/>
    <cellStyle name="Normal 4 2 5 2 6" xfId="4541" xr:uid="{177A0A5E-3482-4140-827C-A1379CF86941}"/>
    <cellStyle name="Normal 4 2 5 2 7" xfId="4542" xr:uid="{57FC7DCF-0868-4177-B75A-B47C3EDA1DBD}"/>
    <cellStyle name="Normal 4 2 5 2 8" xfId="4543" xr:uid="{E48950B0-0BA3-468D-A3CF-F598CB628E11}"/>
    <cellStyle name="Normal 4 2 5 3" xfId="4544" xr:uid="{29BDE38F-F198-4229-B2B9-D4C5E7436830}"/>
    <cellStyle name="Normal 4 2 5 3 2" xfId="4545" xr:uid="{5201B9E8-7442-4FA9-9AF5-293FD630EDD4}"/>
    <cellStyle name="Normal 4 2 5 3 2 2" xfId="4546" xr:uid="{0973E070-12D8-463F-ADCA-2EF165A74727}"/>
    <cellStyle name="Normal 4 2 5 3 2 2 2" xfId="4547" xr:uid="{8B7B573B-6ADC-48AB-B748-CA32A35F6A0E}"/>
    <cellStyle name="Normal 4 2 5 3 2 2 3" xfId="4548" xr:uid="{7448B7D0-E987-4AB9-BB5E-DD4C9D00E984}"/>
    <cellStyle name="Normal 4 2 5 3 2 3" xfId="4549" xr:uid="{B19DA357-6383-4713-8978-D5836D4DC224}"/>
    <cellStyle name="Normal 4 2 5 3 2 4" xfId="4550" xr:uid="{22BED4DA-1D01-447B-8DF6-8243F445FC35}"/>
    <cellStyle name="Normal 4 2 5 3 2 5" xfId="4551" xr:uid="{EE5CF77B-3259-4C77-A971-F66F597E3E9E}"/>
    <cellStyle name="Normal 4 2 5 3 3" xfId="4552" xr:uid="{EA133E66-3969-4C89-90CF-19C2FAECB3C6}"/>
    <cellStyle name="Normal 4 2 5 3 3 2" xfId="4553" xr:uid="{1A71F09D-46F8-4D4C-B221-A96249B136EF}"/>
    <cellStyle name="Normal 4 2 5 3 3 2 2" xfId="4554" xr:uid="{EFBE8736-9433-4117-B6D6-EF3F29995CE9}"/>
    <cellStyle name="Normal 4 2 5 3 3 2 3" xfId="4555" xr:uid="{C54ADB56-87E9-4C9F-8AAE-F18832EE8309}"/>
    <cellStyle name="Normal 4 2 5 3 3 3" xfId="4556" xr:uid="{407D3A12-D650-4A03-8889-5EB594683BFB}"/>
    <cellStyle name="Normal 4 2 5 3 3 4" xfId="4557" xr:uid="{3E4BE741-F513-4349-B38E-827D80C53ABE}"/>
    <cellStyle name="Normal 4 2 5 3 3 5" xfId="4558" xr:uid="{74313CD6-D979-4DF7-B483-F0ABE812DCE2}"/>
    <cellStyle name="Normal 4 2 5 3 4" xfId="4559" xr:uid="{5160A97F-BF33-4EA2-A0B3-0F8771F2E4F9}"/>
    <cellStyle name="Normal 4 2 5 3 4 2" xfId="4560" xr:uid="{06CA75E4-D174-4D91-89FD-CFC5DC60CE8D}"/>
    <cellStyle name="Normal 4 2 5 3 4 3" xfId="4561" xr:uid="{ACB15E93-7285-45DB-9D3E-D16BA3B400BA}"/>
    <cellStyle name="Normal 4 2 5 3 5" xfId="4562" xr:uid="{8FB16DFC-FBBE-46B9-9699-E09278CEF1B0}"/>
    <cellStyle name="Normal 4 2 5 3 6" xfId="4563" xr:uid="{A7AFF28F-88C3-4FF6-91D4-FD0051F67AB6}"/>
    <cellStyle name="Normal 4 2 5 3 7" xfId="4564" xr:uid="{2C8A08B5-1D9C-454B-B0AE-C671661741F8}"/>
    <cellStyle name="Normal 4 2 5 4" xfId="4565" xr:uid="{CDB74611-368C-4A09-BA66-A62334D89146}"/>
    <cellStyle name="Normal 4 2 5 4 2" xfId="4566" xr:uid="{67D40F6D-EE90-4A3B-BF6D-30C850537B51}"/>
    <cellStyle name="Normal 4 2 5 4 2 2" xfId="4567" xr:uid="{346D1AA9-0474-4AF0-95B5-60E07E5E5AE3}"/>
    <cellStyle name="Normal 4 2 5 4 2 3" xfId="4568" xr:uid="{927D7F9A-C54D-4020-A3D8-84F413C4C7B8}"/>
    <cellStyle name="Normal 4 2 5 4 3" xfId="4569" xr:uid="{375B2CF4-E4FC-48F7-BA64-9D4CC75737E6}"/>
    <cellStyle name="Normal 4 2 5 4 4" xfId="4570" xr:uid="{1EAE1DD1-8D56-4412-A821-01DB48FAD883}"/>
    <cellStyle name="Normal 4 2 5 4 5" xfId="4571" xr:uid="{DA3A76A2-BCB0-4931-86F6-FD52AEBF0C07}"/>
    <cellStyle name="Normal 4 2 5 5" xfId="4572" xr:uid="{74478D9C-D7FF-41C7-90D6-547668196232}"/>
    <cellStyle name="Normal 4 2 5 5 2" xfId="4573" xr:uid="{49DCFDC7-6E29-4D41-BD8E-2444D902F4E5}"/>
    <cellStyle name="Normal 4 2 5 5 2 2" xfId="4574" xr:uid="{E80AF233-7C46-485E-B17F-69F3C8E19D2D}"/>
    <cellStyle name="Normal 4 2 5 5 2 3" xfId="4575" xr:uid="{9928AE68-5714-4BA3-8660-7FB2CEB2A835}"/>
    <cellStyle name="Normal 4 2 5 5 3" xfId="4576" xr:uid="{45C3677D-17B0-4B69-9281-9504689DE3EC}"/>
    <cellStyle name="Normal 4 2 5 5 4" xfId="4577" xr:uid="{DE11251D-F8D6-419E-BB7C-053D51FD7F6E}"/>
    <cellStyle name="Normal 4 2 5 5 5" xfId="4578" xr:uid="{BE115F68-80F6-40A3-AE62-381FDA6382D5}"/>
    <cellStyle name="Normal 4 2 5 6" xfId="4579" xr:uid="{800CB5B4-1F3F-48CC-B2B8-3F080AD00740}"/>
    <cellStyle name="Normal 4 2 5 6 2" xfId="4580" xr:uid="{5E94BD36-D825-4E30-BA2B-E40DDA4EDE79}"/>
    <cellStyle name="Normal 4 2 5 6 3" xfId="4581" xr:uid="{62C86C9F-F05D-4905-9476-4CADA177E975}"/>
    <cellStyle name="Normal 4 2 5 7" xfId="4582" xr:uid="{D1B21DE7-A451-4C66-8515-4BA23D5B9BDC}"/>
    <cellStyle name="Normal 4 2 5 8" xfId="4583" xr:uid="{4C6E3E44-0A1F-4D29-881D-90D5F2BEB6D1}"/>
    <cellStyle name="Normal 4 2 5 9" xfId="4584" xr:uid="{01F3EB38-A221-4F32-80D2-B7F2C048DCB7}"/>
    <cellStyle name="Normal 4 2 6" xfId="4585" xr:uid="{36F60579-E104-4AB0-939B-9C4FA67CA4D1}"/>
    <cellStyle name="Normal 4 2 6 2" xfId="4586" xr:uid="{5078662F-BCC2-4E6F-97BB-DBB69C0ED55D}"/>
    <cellStyle name="Normal 4 2 6 2 2" xfId="4587" xr:uid="{8FF0A396-7D8D-4942-8AAD-5D8B6E7EF08E}"/>
    <cellStyle name="Normal 4 2 6 2 2 2" xfId="4588" xr:uid="{DDD370C0-162B-48A7-9FCB-991EC1011211}"/>
    <cellStyle name="Normal 4 2 6 2 2 2 2" xfId="4589" xr:uid="{35BE7998-DBD6-451C-B73C-70BE79207A47}"/>
    <cellStyle name="Normal 4 2 6 2 2 2 2 2" xfId="4590" xr:uid="{320E46A6-BE68-478E-817D-A9BAABD8F6DB}"/>
    <cellStyle name="Normal 4 2 6 2 2 2 2 3" xfId="4591" xr:uid="{61BAC275-5D98-4BD3-9B6E-3404E7847B77}"/>
    <cellStyle name="Normal 4 2 6 2 2 2 3" xfId="4592" xr:uid="{1FB74F9F-17FC-4378-AC32-4E4D04A43013}"/>
    <cellStyle name="Normal 4 2 6 2 2 2 4" xfId="4593" xr:uid="{E842B8C9-4A98-4862-BB84-614BFD88EC37}"/>
    <cellStyle name="Normal 4 2 6 2 2 2 5" xfId="4594" xr:uid="{5D994406-D6E2-4426-BCCA-4740949D7B54}"/>
    <cellStyle name="Normal 4 2 6 2 2 3" xfId="4595" xr:uid="{DD10CF15-BA18-40EC-BCC4-2E4140384130}"/>
    <cellStyle name="Normal 4 2 6 2 2 3 2" xfId="4596" xr:uid="{D5D5B6EB-44FC-4FED-ABE9-344E098331FD}"/>
    <cellStyle name="Normal 4 2 6 2 2 3 2 2" xfId="4597" xr:uid="{795D53F2-90A0-4148-95B6-5750C950FA80}"/>
    <cellStyle name="Normal 4 2 6 2 2 3 2 3" xfId="4598" xr:uid="{3F985FB3-7A8A-4B8E-9D06-ABE7B73E890F}"/>
    <cellStyle name="Normal 4 2 6 2 2 3 3" xfId="4599" xr:uid="{CF07867A-249A-4B5F-825C-F0EF5D234D38}"/>
    <cellStyle name="Normal 4 2 6 2 2 3 4" xfId="4600" xr:uid="{FDC8DB11-C7FE-4A2E-ADFF-112E6511DBF1}"/>
    <cellStyle name="Normal 4 2 6 2 2 3 5" xfId="4601" xr:uid="{8A397516-CAC5-4434-B1F0-586DD7D50F27}"/>
    <cellStyle name="Normal 4 2 6 2 2 4" xfId="4602" xr:uid="{BAACB0D3-552C-4B36-80DF-22622E0EAFCE}"/>
    <cellStyle name="Normal 4 2 6 2 2 4 2" xfId="4603" xr:uid="{896A7099-52B6-4149-A2CC-EFD110D6CA0D}"/>
    <cellStyle name="Normal 4 2 6 2 2 4 3" xfId="4604" xr:uid="{9D1FED74-9E8E-4739-9FB2-3949E7D5F09A}"/>
    <cellStyle name="Normal 4 2 6 2 2 5" xfId="4605" xr:uid="{912724A1-C982-44D8-8C0A-1153183DF046}"/>
    <cellStyle name="Normal 4 2 6 2 2 6" xfId="4606" xr:uid="{7DAE7901-1C2D-4582-860D-44A1E3311BE2}"/>
    <cellStyle name="Normal 4 2 6 2 2 7" xfId="4607" xr:uid="{0ADA7A63-B692-449B-A793-F959991792E6}"/>
    <cellStyle name="Normal 4 2 6 2 3" xfId="4608" xr:uid="{D4C6DA96-455F-46B8-ACC1-23B6074C4057}"/>
    <cellStyle name="Normal 4 2 6 2 3 2" xfId="4609" xr:uid="{CA6ED9B1-FA6F-4F7E-B64F-B2237DDE2F63}"/>
    <cellStyle name="Normal 4 2 6 2 3 2 2" xfId="4610" xr:uid="{4BEF3A73-6D8E-408F-BE58-9056FE262B14}"/>
    <cellStyle name="Normal 4 2 6 2 3 2 3" xfId="4611" xr:uid="{77A3C45A-B5F8-4184-8641-E955A762E752}"/>
    <cellStyle name="Normal 4 2 6 2 3 3" xfId="4612" xr:uid="{7CFC5675-42C0-40EF-8578-D74C2DDAA7FC}"/>
    <cellStyle name="Normal 4 2 6 2 3 4" xfId="4613" xr:uid="{2F036059-7797-4632-8088-3630F482B415}"/>
    <cellStyle name="Normal 4 2 6 2 3 5" xfId="4614" xr:uid="{1FED31E5-066E-4515-9DA9-704C789BE8BB}"/>
    <cellStyle name="Normal 4 2 6 2 4" xfId="4615" xr:uid="{3005C2E6-62BD-4274-9935-84FE621BE9BA}"/>
    <cellStyle name="Normal 4 2 6 2 4 2" xfId="4616" xr:uid="{113F4094-6E70-4EA3-A3FB-637B747307E2}"/>
    <cellStyle name="Normal 4 2 6 2 4 2 2" xfId="4617" xr:uid="{AF91DB4E-BA63-4BF4-AE03-F14B1E41EFFD}"/>
    <cellStyle name="Normal 4 2 6 2 4 2 3" xfId="4618" xr:uid="{F1986579-E84C-40BE-8DF8-E9BA709F54D1}"/>
    <cellStyle name="Normal 4 2 6 2 4 3" xfId="4619" xr:uid="{DF354081-FCE7-4550-B976-26347B0B6190}"/>
    <cellStyle name="Normal 4 2 6 2 4 4" xfId="4620" xr:uid="{EF0D3295-0F31-4E78-9CD7-E05D01637AD6}"/>
    <cellStyle name="Normal 4 2 6 2 4 5" xfId="4621" xr:uid="{2BF3614C-55AF-417B-AF52-D539CB8E8033}"/>
    <cellStyle name="Normal 4 2 6 2 5" xfId="4622" xr:uid="{496DE4CF-04CC-4F4F-973C-1C4944D53E83}"/>
    <cellStyle name="Normal 4 2 6 2 5 2" xfId="4623" xr:uid="{086870E2-D149-47BA-BC13-E3932F970418}"/>
    <cellStyle name="Normal 4 2 6 2 5 3" xfId="4624" xr:uid="{9C906A52-A1A3-451A-9186-619FF7EF60FC}"/>
    <cellStyle name="Normal 4 2 6 2 6" xfId="4625" xr:uid="{59BA3F6E-7815-4997-A9EA-775F672DFE05}"/>
    <cellStyle name="Normal 4 2 6 2 7" xfId="4626" xr:uid="{8AF47CEB-0794-4DF6-94D8-3BF790B826D0}"/>
    <cellStyle name="Normal 4 2 6 2 8" xfId="4627" xr:uid="{4196ABB7-39C2-467A-814E-57EB291D5F90}"/>
    <cellStyle name="Normal 4 2 6 3" xfId="4628" xr:uid="{53D986C9-C419-4402-8E68-3FBE271C55A6}"/>
    <cellStyle name="Normal 4 2 6 3 2" xfId="4629" xr:uid="{53012B00-FD77-4057-8947-E393F654768C}"/>
    <cellStyle name="Normal 4 2 6 3 2 2" xfId="4630" xr:uid="{FF5FD819-38B3-4B89-A1AE-B234CF951B37}"/>
    <cellStyle name="Normal 4 2 6 3 2 2 2" xfId="4631" xr:uid="{F5E62773-F0DB-4C1C-8015-B2BD864C81AC}"/>
    <cellStyle name="Normal 4 2 6 3 2 2 3" xfId="4632" xr:uid="{68F221EF-1690-4833-8688-40396CF1105F}"/>
    <cellStyle name="Normal 4 2 6 3 2 3" xfId="4633" xr:uid="{CA6920E3-4977-49FB-A7A0-5C8D32C65086}"/>
    <cellStyle name="Normal 4 2 6 3 2 4" xfId="4634" xr:uid="{93B8146F-1A00-44EC-8A3B-C596938BE192}"/>
    <cellStyle name="Normal 4 2 6 3 2 5" xfId="4635" xr:uid="{DB422873-DA62-4E97-A110-733564F56A2E}"/>
    <cellStyle name="Normal 4 2 6 3 3" xfId="4636" xr:uid="{8FFF201B-05B4-4436-94BD-E7D094A7D930}"/>
    <cellStyle name="Normal 4 2 6 3 3 2" xfId="4637" xr:uid="{7F2CB5A9-B548-4327-A631-AD03B5F68B99}"/>
    <cellStyle name="Normal 4 2 6 3 3 2 2" xfId="4638" xr:uid="{3F3633D3-AA3C-4C06-B226-F4E6A41C1EBE}"/>
    <cellStyle name="Normal 4 2 6 3 3 2 3" xfId="4639" xr:uid="{E3CC2539-33CC-47B7-B53F-202ECE2E6CAF}"/>
    <cellStyle name="Normal 4 2 6 3 3 3" xfId="4640" xr:uid="{90857708-6485-4F00-8E2C-1B66AADA2487}"/>
    <cellStyle name="Normal 4 2 6 3 3 4" xfId="4641" xr:uid="{850C7425-9830-4CBC-8590-51FCF65E0B35}"/>
    <cellStyle name="Normal 4 2 6 3 3 5" xfId="4642" xr:uid="{2CEA67F3-3C16-494F-8ECA-8FCF657EE6EB}"/>
    <cellStyle name="Normal 4 2 6 3 4" xfId="4643" xr:uid="{B17CD7CA-791D-4AFD-98E6-31BFF02EB4DF}"/>
    <cellStyle name="Normal 4 2 6 3 4 2" xfId="4644" xr:uid="{3C60F984-339F-45B2-9952-F63EFAF0938F}"/>
    <cellStyle name="Normal 4 2 6 3 4 3" xfId="4645" xr:uid="{EA6166AB-6F62-4B32-A2C6-34B9550EF172}"/>
    <cellStyle name="Normal 4 2 6 3 5" xfId="4646" xr:uid="{F17F6D73-0146-43A0-BD13-41FD56B5CD3E}"/>
    <cellStyle name="Normal 4 2 6 3 6" xfId="4647" xr:uid="{1252B613-7B44-4BEE-BA2D-C1FCC79F5022}"/>
    <cellStyle name="Normal 4 2 6 3 7" xfId="4648" xr:uid="{4BA5D67C-1CF6-4C76-B531-EBF14F7BE49C}"/>
    <cellStyle name="Normal 4 2 6 4" xfId="4649" xr:uid="{24CC6A76-EAF3-41E9-AA9C-854932CE6B65}"/>
    <cellStyle name="Normal 4 2 6 4 2" xfId="4650" xr:uid="{9D1AACF2-EF51-4479-81AE-FFC9896D9B05}"/>
    <cellStyle name="Normal 4 2 6 4 2 2" xfId="4651" xr:uid="{45B0549C-66FB-423F-8DD4-CF380E9F8172}"/>
    <cellStyle name="Normal 4 2 6 4 2 3" xfId="4652" xr:uid="{32930189-AA77-4D8D-8931-975AD155E186}"/>
    <cellStyle name="Normal 4 2 6 4 3" xfId="4653" xr:uid="{1F75EAAE-7E8C-4863-8C4E-6833C31A2AA0}"/>
    <cellStyle name="Normal 4 2 6 4 4" xfId="4654" xr:uid="{57805F81-86E8-4492-9C89-5B8B375117A8}"/>
    <cellStyle name="Normal 4 2 6 4 5" xfId="4655" xr:uid="{4C022A6D-DFDA-40C4-8148-663F8C768A70}"/>
    <cellStyle name="Normal 4 2 6 5" xfId="4656" xr:uid="{15FAF031-35F0-462C-AEC7-59C2E320D0D7}"/>
    <cellStyle name="Normal 4 2 6 5 2" xfId="4657" xr:uid="{E956245C-869C-425A-8919-F6110D3C3EDB}"/>
    <cellStyle name="Normal 4 2 6 5 2 2" xfId="4658" xr:uid="{C955A912-9930-48BC-8A67-E2D5A306FD5A}"/>
    <cellStyle name="Normal 4 2 6 5 2 3" xfId="4659" xr:uid="{BACEA1E3-966A-4525-AEAF-8BDCDD14235F}"/>
    <cellStyle name="Normal 4 2 6 5 3" xfId="4660" xr:uid="{484F4F0B-8686-450F-81E6-4C12123C358A}"/>
    <cellStyle name="Normal 4 2 6 5 4" xfId="4661" xr:uid="{7E71D6DB-CBC2-4181-802A-AE53D619A83C}"/>
    <cellStyle name="Normal 4 2 6 5 5" xfId="4662" xr:uid="{1BA8DBD2-037A-41D1-B4AB-2E80B439A476}"/>
    <cellStyle name="Normal 4 2 6 6" xfId="4663" xr:uid="{BCE8BFB7-3AB5-42B5-A93E-17D869581CE0}"/>
    <cellStyle name="Normal 4 2 6 6 2" xfId="4664" xr:uid="{BF50A57D-44A0-4022-9F50-B96D820837FA}"/>
    <cellStyle name="Normal 4 2 6 6 3" xfId="4665" xr:uid="{A07B6970-E0EE-46E3-85EA-8824FA6B0000}"/>
    <cellStyle name="Normal 4 2 6 7" xfId="4666" xr:uid="{21376ED0-E30C-44B6-83FE-5572304516BE}"/>
    <cellStyle name="Normal 4 2 6 8" xfId="4667" xr:uid="{15CEE13F-1E98-4565-A23B-3399040B05A5}"/>
    <cellStyle name="Normal 4 2 6 9" xfId="4668" xr:uid="{FB414AE9-E192-4795-B38D-D95608392A8C}"/>
    <cellStyle name="Normal 4 2 7" xfId="4669" xr:uid="{A850A357-BD32-4CBA-AD08-9116EFF526A7}"/>
    <cellStyle name="Normal 4 2 7 2" xfId="4670" xr:uid="{E3540F0A-DA6B-4B13-BD0C-1BF7184A2178}"/>
    <cellStyle name="Normal 4 2 7 2 2" xfId="4671" xr:uid="{4F79C879-2246-4DAE-BD8A-2E67ADCB353D}"/>
    <cellStyle name="Normal 4 2 7 2 2 2" xfId="4672" xr:uid="{9D4DD31B-B223-46F3-8E67-6F94D77BD0E7}"/>
    <cellStyle name="Normal 4 2 7 2 2 2 2" xfId="4673" xr:uid="{1D27829D-C94B-4F56-B53D-D285935923C2}"/>
    <cellStyle name="Normal 4 2 7 2 2 2 2 2" xfId="4674" xr:uid="{FE263B13-31EC-4F40-803F-AF10F7C5AA89}"/>
    <cellStyle name="Normal 4 2 7 2 2 2 2 3" xfId="4675" xr:uid="{679BFECD-F3E0-4F62-9B61-B2B30FE9D434}"/>
    <cellStyle name="Normal 4 2 7 2 2 2 3" xfId="4676" xr:uid="{07046B28-585A-4848-A1C3-440BF78575E0}"/>
    <cellStyle name="Normal 4 2 7 2 2 2 4" xfId="4677" xr:uid="{6790703E-7978-489C-9473-5AEB4E86421C}"/>
    <cellStyle name="Normal 4 2 7 2 2 2 5" xfId="4678" xr:uid="{990F22B7-7843-4EB6-9A6C-40E733188724}"/>
    <cellStyle name="Normal 4 2 7 2 2 3" xfId="4679" xr:uid="{F9023D6E-D066-4015-9C0B-9774E5E4E8E8}"/>
    <cellStyle name="Normal 4 2 7 2 2 3 2" xfId="4680" xr:uid="{0905420C-22AB-4616-ABA4-9ADB19E82FE2}"/>
    <cellStyle name="Normal 4 2 7 2 2 3 2 2" xfId="4681" xr:uid="{B1DB8680-2848-4CEA-8269-8BE242EC2F82}"/>
    <cellStyle name="Normal 4 2 7 2 2 3 2 3" xfId="4682" xr:uid="{54DB1891-538A-40F1-B471-141E7FB293CA}"/>
    <cellStyle name="Normal 4 2 7 2 2 3 3" xfId="4683" xr:uid="{BB6479E1-5A17-45A7-AF75-363827F47AAA}"/>
    <cellStyle name="Normal 4 2 7 2 2 3 4" xfId="4684" xr:uid="{C2AC53C5-816E-42DB-9FEE-A4CB058D53BA}"/>
    <cellStyle name="Normal 4 2 7 2 2 3 5" xfId="4685" xr:uid="{17BB6949-6AAF-4F9B-9187-E7DEE4D0B485}"/>
    <cellStyle name="Normal 4 2 7 2 2 4" xfId="4686" xr:uid="{41B0D167-2843-4F99-8A0A-6339BCDFE222}"/>
    <cellStyle name="Normal 4 2 7 2 2 4 2" xfId="4687" xr:uid="{52E4FCB3-2575-425A-BE52-733FD6929088}"/>
    <cellStyle name="Normal 4 2 7 2 2 4 3" xfId="4688" xr:uid="{57B922BC-36F9-4DA0-9FDC-B5202D7325E5}"/>
    <cellStyle name="Normal 4 2 7 2 2 5" xfId="4689" xr:uid="{DFEB4E08-3D69-4B02-923B-CB750336BC2F}"/>
    <cellStyle name="Normal 4 2 7 2 2 6" xfId="4690" xr:uid="{6C962427-E767-4D62-B8C3-CAC497D10E54}"/>
    <cellStyle name="Normal 4 2 7 2 2 7" xfId="4691" xr:uid="{07B94AE8-FBFA-40EE-940A-91FCBB50791E}"/>
    <cellStyle name="Normal 4 2 7 2 3" xfId="4692" xr:uid="{3FC7B043-3686-468A-92F0-7C14E0DDA84C}"/>
    <cellStyle name="Normal 4 2 7 2 3 2" xfId="4693" xr:uid="{AF1F27FA-C1E8-4CBD-B758-028599DAD851}"/>
    <cellStyle name="Normal 4 2 7 2 3 2 2" xfId="4694" xr:uid="{7DA4CE71-BECE-4B71-903E-C2BA8514D97E}"/>
    <cellStyle name="Normal 4 2 7 2 3 2 3" xfId="4695" xr:uid="{1BC648C1-3D75-4245-B37F-175B7A52BC76}"/>
    <cellStyle name="Normal 4 2 7 2 3 3" xfId="4696" xr:uid="{6EEE9428-FA43-4D08-B8FB-39A84E79EEFF}"/>
    <cellStyle name="Normal 4 2 7 2 3 4" xfId="4697" xr:uid="{88BF1F4C-B837-468C-9158-B152410F5D3C}"/>
    <cellStyle name="Normal 4 2 7 2 3 5" xfId="4698" xr:uid="{AB2DD8D3-CC09-4E00-8D12-E2CC94C49EBC}"/>
    <cellStyle name="Normal 4 2 7 2 4" xfId="4699" xr:uid="{2BD8E9DD-B3A3-4369-BBD2-7716F2EB7B50}"/>
    <cellStyle name="Normal 4 2 7 2 4 2" xfId="4700" xr:uid="{A5B1DF3E-F818-43C3-8840-46160BF1220E}"/>
    <cellStyle name="Normal 4 2 7 2 4 2 2" xfId="4701" xr:uid="{BC969D1E-B84E-46B0-A7E2-5C85AB0EA800}"/>
    <cellStyle name="Normal 4 2 7 2 4 2 3" xfId="4702" xr:uid="{7EBA1ABC-58E9-4EB7-B614-C2C76923AF36}"/>
    <cellStyle name="Normal 4 2 7 2 4 3" xfId="4703" xr:uid="{0DD4BF7A-1653-4625-A9AB-B0AE506AA0FB}"/>
    <cellStyle name="Normal 4 2 7 2 4 4" xfId="4704" xr:uid="{EABD29C2-9CBD-4B0D-9830-095EA904DDEC}"/>
    <cellStyle name="Normal 4 2 7 2 4 5" xfId="4705" xr:uid="{F5387860-2863-4CF8-97BB-AABC2AB14B96}"/>
    <cellStyle name="Normal 4 2 7 2 5" xfId="4706" xr:uid="{A60AF41A-6C8D-4130-8E4D-3B2DE463CE0B}"/>
    <cellStyle name="Normal 4 2 7 2 5 2" xfId="4707" xr:uid="{7E15988A-C9D6-48C1-9BFA-2904FF26103C}"/>
    <cellStyle name="Normal 4 2 7 2 5 3" xfId="4708" xr:uid="{40F555A2-203F-4388-A028-A59A2DFB650C}"/>
    <cellStyle name="Normal 4 2 7 2 6" xfId="4709" xr:uid="{6D6A633A-7F59-4E40-AD0D-8F9D5AD91FFF}"/>
    <cellStyle name="Normal 4 2 7 2 7" xfId="4710" xr:uid="{00AB7886-7589-401F-A31B-8EB6E80A93C6}"/>
    <cellStyle name="Normal 4 2 7 2 8" xfId="4711" xr:uid="{316E0B2D-D8AF-4034-853C-5BC595C539C8}"/>
    <cellStyle name="Normal 4 2 7 3" xfId="4712" xr:uid="{E9178083-B584-4E90-AFDE-AB9BC4269210}"/>
    <cellStyle name="Normal 4 2 7 3 2" xfId="4713" xr:uid="{FEA8E705-CD75-4148-9418-EA207DCE101F}"/>
    <cellStyle name="Normal 4 2 7 3 2 2" xfId="4714" xr:uid="{F41D038C-4768-4F18-9F2C-482454730688}"/>
    <cellStyle name="Normal 4 2 7 3 2 2 2" xfId="4715" xr:uid="{2988D980-E3A4-4D2C-A50C-281F0485A610}"/>
    <cellStyle name="Normal 4 2 7 3 2 2 3" xfId="4716" xr:uid="{8B3B741C-A797-41DA-B29B-DC147D52A101}"/>
    <cellStyle name="Normal 4 2 7 3 2 3" xfId="4717" xr:uid="{01F2BB51-AEDA-40E2-8EEB-2A41065E95C1}"/>
    <cellStyle name="Normal 4 2 7 3 2 4" xfId="4718" xr:uid="{87F76B04-DFCE-4FBF-9284-A0A1106BDED5}"/>
    <cellStyle name="Normal 4 2 7 3 2 5" xfId="4719" xr:uid="{CD53FFCA-60A5-4770-BC09-13F89AF48757}"/>
    <cellStyle name="Normal 4 2 7 3 3" xfId="4720" xr:uid="{85A3A4F3-6463-4E54-98DC-C90209B858DB}"/>
    <cellStyle name="Normal 4 2 7 3 3 2" xfId="4721" xr:uid="{EC6CF531-3F15-4A94-9900-1EB71170D74E}"/>
    <cellStyle name="Normal 4 2 7 3 3 2 2" xfId="4722" xr:uid="{1436F34C-5500-418A-AE79-8CA81674C564}"/>
    <cellStyle name="Normal 4 2 7 3 3 2 3" xfId="4723" xr:uid="{00AF7A06-E30C-4F02-BE89-00FA2F66A245}"/>
    <cellStyle name="Normal 4 2 7 3 3 3" xfId="4724" xr:uid="{9AF46004-A72C-44B4-A107-FF4D31DA9016}"/>
    <cellStyle name="Normal 4 2 7 3 3 4" xfId="4725" xr:uid="{A4FC0B43-4D9C-458E-B0C5-D71D3C4E30FB}"/>
    <cellStyle name="Normal 4 2 7 3 3 5" xfId="4726" xr:uid="{EA6A4C0C-826B-4403-865F-F7C74B3CABF0}"/>
    <cellStyle name="Normal 4 2 7 3 4" xfId="4727" xr:uid="{4E33CACC-212D-45F9-875F-96831211D1DF}"/>
    <cellStyle name="Normal 4 2 7 3 4 2" xfId="4728" xr:uid="{8F04421F-14A9-4291-BA7C-CC204929792F}"/>
    <cellStyle name="Normal 4 2 7 3 4 3" xfId="4729" xr:uid="{692A4515-7F2D-46A8-BBB7-9B6C31F7112E}"/>
    <cellStyle name="Normal 4 2 7 3 5" xfId="4730" xr:uid="{88ACDD1B-3949-472F-A9AB-89F6D8CB1707}"/>
    <cellStyle name="Normal 4 2 7 3 6" xfId="4731" xr:uid="{1C6FAAB9-0D84-4916-BB8C-B3ABE6432BD3}"/>
    <cellStyle name="Normal 4 2 7 3 7" xfId="4732" xr:uid="{EB2342A8-6207-43E1-BD71-2C4586FA11E0}"/>
    <cellStyle name="Normal 4 2 7 4" xfId="4733" xr:uid="{A9078CD2-BBE3-45B6-9135-14EE369F3E84}"/>
    <cellStyle name="Normal 4 2 7 4 2" xfId="4734" xr:uid="{D9380AE9-6CEC-4833-97FD-A4D4A1D290DA}"/>
    <cellStyle name="Normal 4 2 7 4 2 2" xfId="4735" xr:uid="{ACF5CC9C-BC2F-4D24-B207-04797EC1E946}"/>
    <cellStyle name="Normal 4 2 7 4 2 3" xfId="4736" xr:uid="{7620BA36-7FE1-4368-9EFF-420A8106073F}"/>
    <cellStyle name="Normal 4 2 7 4 3" xfId="4737" xr:uid="{23B2133D-3E52-4335-A7D6-B214CB0C276E}"/>
    <cellStyle name="Normal 4 2 7 4 4" xfId="4738" xr:uid="{32E615C2-C282-433B-B2ED-E44BC13B6BF7}"/>
    <cellStyle name="Normal 4 2 7 4 5" xfId="4739" xr:uid="{E0FECDAB-2D24-4FAA-8D2A-F35B07983B12}"/>
    <cellStyle name="Normal 4 2 7 5" xfId="4740" xr:uid="{E8225AF4-DF87-43AA-8B95-00D27F0B6CED}"/>
    <cellStyle name="Normal 4 2 7 5 2" xfId="4741" xr:uid="{3D30AA9C-016D-498C-ACC4-5A9E7D5D3476}"/>
    <cellStyle name="Normal 4 2 7 5 2 2" xfId="4742" xr:uid="{801E673B-A766-48E4-8E02-0C6665641F46}"/>
    <cellStyle name="Normal 4 2 7 5 2 3" xfId="4743" xr:uid="{D953B80C-BA20-4F51-A9F7-33545AE5BBCD}"/>
    <cellStyle name="Normal 4 2 7 5 3" xfId="4744" xr:uid="{5F00ED83-33F3-4854-B44E-A83FFDFD4203}"/>
    <cellStyle name="Normal 4 2 7 5 4" xfId="4745" xr:uid="{9AEFFEF4-D26A-4D38-B5A7-B4207564E53F}"/>
    <cellStyle name="Normal 4 2 7 5 5" xfId="4746" xr:uid="{77B3A3CD-6549-4DAA-B011-69A42EE57D57}"/>
    <cellStyle name="Normal 4 2 7 6" xfId="4747" xr:uid="{E9C93716-1053-464F-A096-52441BBC70CB}"/>
    <cellStyle name="Normal 4 2 7 6 2" xfId="4748" xr:uid="{56047A11-A023-4669-9C4D-0099C21B795E}"/>
    <cellStyle name="Normal 4 2 7 6 3" xfId="4749" xr:uid="{CA24161A-EE89-467A-81E0-5FEAECAB35D2}"/>
    <cellStyle name="Normal 4 2 7 7" xfId="4750" xr:uid="{D9EED284-2515-4BD6-A1B8-0EDEBE5E53AE}"/>
    <cellStyle name="Normal 4 2 7 8" xfId="4751" xr:uid="{D43FB23B-782F-46F3-A5E4-6D7F4E1EFD5D}"/>
    <cellStyle name="Normal 4 2 7 9" xfId="4752" xr:uid="{68A80760-3CDD-4CF9-8DD0-02F99F1DE64D}"/>
    <cellStyle name="Normal 4 2 8" xfId="4753" xr:uid="{A1C50E25-4B26-4CFC-B64B-2D8D7D2925FE}"/>
    <cellStyle name="Normal 4 2 8 2" xfId="4754" xr:uid="{C89C6985-9909-4425-8486-248346DA0A5A}"/>
    <cellStyle name="Normal 4 2 8 2 2" xfId="4755" xr:uid="{369CE206-8598-4CB6-B33C-021925CAA42F}"/>
    <cellStyle name="Normal 4 2 8 2 2 2" xfId="4756" xr:uid="{A233498C-802A-4B3E-BB5E-5D707DFF2C67}"/>
    <cellStyle name="Normal 4 2 8 2 2 2 2" xfId="4757" xr:uid="{482B5D05-A534-492D-9C9B-5A98D9B1BDB0}"/>
    <cellStyle name="Normal 4 2 8 2 2 2 3" xfId="4758" xr:uid="{D5A869F6-4AAE-49A8-905D-68AF7C9ACB45}"/>
    <cellStyle name="Normal 4 2 8 2 2 3" xfId="4759" xr:uid="{0A83722D-A692-41E2-84EE-27F11982CDE7}"/>
    <cellStyle name="Normal 4 2 8 2 2 4" xfId="4760" xr:uid="{10685932-F619-4BBA-ABFA-6B96225AC406}"/>
    <cellStyle name="Normal 4 2 8 2 2 5" xfId="4761" xr:uid="{D231C3BC-6C71-4231-B0C6-B8B82D36D5E6}"/>
    <cellStyle name="Normal 4 2 8 2 3" xfId="4762" xr:uid="{D0A57C68-C0FE-431B-A00C-B1869C34C2D9}"/>
    <cellStyle name="Normal 4 2 8 2 3 2" xfId="4763" xr:uid="{80D4C366-F69B-4111-8EED-D5E7F53F71A7}"/>
    <cellStyle name="Normal 4 2 8 2 3 2 2" xfId="4764" xr:uid="{883CE279-4C25-4F70-8EA3-C80F42D94695}"/>
    <cellStyle name="Normal 4 2 8 2 3 2 3" xfId="4765" xr:uid="{DF895952-0E38-4AAB-A6ED-5A7531F99D61}"/>
    <cellStyle name="Normal 4 2 8 2 3 3" xfId="4766" xr:uid="{6E44E59A-7558-459D-94E4-CEB8E1C643B3}"/>
    <cellStyle name="Normal 4 2 8 2 3 4" xfId="4767" xr:uid="{E80D7593-2AC2-40B5-B2F1-C07AB842DD25}"/>
    <cellStyle name="Normal 4 2 8 2 3 5" xfId="4768" xr:uid="{A59098F5-71B6-44BE-869A-B008601568CE}"/>
    <cellStyle name="Normal 4 2 8 2 4" xfId="4769" xr:uid="{AFAA6E0C-F28C-4850-AC4E-43448D930723}"/>
    <cellStyle name="Normal 4 2 8 2 4 2" xfId="4770" xr:uid="{33390861-18CC-4F81-B74C-03D631157029}"/>
    <cellStyle name="Normal 4 2 8 2 4 3" xfId="4771" xr:uid="{A5D855E3-FB57-4E8B-812B-63503467FC58}"/>
    <cellStyle name="Normal 4 2 8 2 5" xfId="4772" xr:uid="{67BDBE40-6438-4F5A-960C-8CDCFC603D8F}"/>
    <cellStyle name="Normal 4 2 8 2 6" xfId="4773" xr:uid="{7B40489F-5E29-4E13-A709-52C4A9F3266F}"/>
    <cellStyle name="Normal 4 2 8 2 7" xfId="4774" xr:uid="{D9C05E4C-F3CE-4282-A6E7-51EF926ADA8F}"/>
    <cellStyle name="Normal 4 2 8 3" xfId="4775" xr:uid="{22992D85-E42A-409E-B1A3-9178359EDAF8}"/>
    <cellStyle name="Normal 4 2 8 3 2" xfId="4776" xr:uid="{2B7FD8D3-B629-4A30-A1CF-1321F3446234}"/>
    <cellStyle name="Normal 4 2 8 3 2 2" xfId="4777" xr:uid="{A338CBD1-BA6C-4F86-BF03-28491EBC6C59}"/>
    <cellStyle name="Normal 4 2 8 3 2 3" xfId="4778" xr:uid="{56C8C98C-EA9A-4277-BFDC-971C7BBC335A}"/>
    <cellStyle name="Normal 4 2 8 3 3" xfId="4779" xr:uid="{B90BF90C-94EF-493F-9BF7-000EC2E6DC88}"/>
    <cellStyle name="Normal 4 2 8 3 4" xfId="4780" xr:uid="{A74B43ED-6324-4EE7-8BCD-61B1DB1F3C78}"/>
    <cellStyle name="Normal 4 2 8 3 5" xfId="4781" xr:uid="{AC3B4FA6-1EAC-441C-A1C4-9E9379982375}"/>
    <cellStyle name="Normal 4 2 8 4" xfId="4782" xr:uid="{7C6F8F1A-CAD7-4B47-9142-5C42991C7DA3}"/>
    <cellStyle name="Normal 4 2 8 4 2" xfId="4783" xr:uid="{64754507-E99C-46B7-B109-B7E880EEBBCA}"/>
    <cellStyle name="Normal 4 2 8 4 2 2" xfId="4784" xr:uid="{91E25EDF-7E5B-4015-B0B4-95422F75593C}"/>
    <cellStyle name="Normal 4 2 8 4 2 3" xfId="4785" xr:uid="{1614884D-95BB-4858-958E-C0E94DA9CD94}"/>
    <cellStyle name="Normal 4 2 8 4 3" xfId="4786" xr:uid="{269E4BFE-F9F9-4665-9B3B-BDE73DBD2283}"/>
    <cellStyle name="Normal 4 2 8 4 4" xfId="4787" xr:uid="{DB397F7D-1A83-4632-9E2F-CEBC749AFDA0}"/>
    <cellStyle name="Normal 4 2 8 4 5" xfId="4788" xr:uid="{480A6D4A-E941-4CBB-9D30-02C6C3560A06}"/>
    <cellStyle name="Normal 4 2 8 5" xfId="4789" xr:uid="{C5B1EB97-1680-4764-A0FD-861A0B08E68D}"/>
    <cellStyle name="Normal 4 2 8 5 2" xfId="4790" xr:uid="{87018B45-B2B0-47A6-AB10-74733DBD4800}"/>
    <cellStyle name="Normal 4 2 8 5 3" xfId="4791" xr:uid="{70CD6BB6-B63C-4D02-9995-6947A030A83A}"/>
    <cellStyle name="Normal 4 2 8 6" xfId="4792" xr:uid="{1E9FFFFD-B11D-451D-A662-D753FEA4F182}"/>
    <cellStyle name="Normal 4 2 8 7" xfId="4793" xr:uid="{070216F6-10DF-4C61-BA7A-2DCE0EBBF357}"/>
    <cellStyle name="Normal 4 2 8 8" xfId="4794" xr:uid="{78333BBA-0539-4ADA-A500-32BAAB0979D1}"/>
    <cellStyle name="Normal 4 2 9" xfId="4795" xr:uid="{D745890D-63C6-4AE8-B468-C34E83A63ED8}"/>
    <cellStyle name="Normal 4 2 9 2" xfId="4796" xr:uid="{6C0A9947-1415-4311-B63C-077B5DB02E13}"/>
    <cellStyle name="Normal 4 2 9 2 2" xfId="4797" xr:uid="{001ABDE3-1917-45F3-B307-E746ABD48ADD}"/>
    <cellStyle name="Normal 4 2 9 2 2 2" xfId="4798" xr:uid="{42B8424E-5CCC-4EA2-95A0-C0F1289691DA}"/>
    <cellStyle name="Normal 4 2 9 2 2 3" xfId="4799" xr:uid="{1A0CE9FD-3904-49ED-A363-56F8F3F073CF}"/>
    <cellStyle name="Normal 4 2 9 2 3" xfId="4800" xr:uid="{D91841D8-FB9D-43EF-93B8-E2282F912FE3}"/>
    <cellStyle name="Normal 4 2 9 2 4" xfId="4801" xr:uid="{B89C8053-302F-49A6-ADC0-68C77C182800}"/>
    <cellStyle name="Normal 4 2 9 2 5" xfId="4802" xr:uid="{2F91FDCF-B724-4DB1-8120-1584B775FBBC}"/>
    <cellStyle name="Normal 4 2 9 3" xfId="4803" xr:uid="{63932EEA-D4B6-41B7-A797-E83BE1C12424}"/>
    <cellStyle name="Normal 4 2 9 3 2" xfId="4804" xr:uid="{E6568307-2958-401B-B874-3F3156EFCC2F}"/>
    <cellStyle name="Normal 4 2 9 3 2 2" xfId="4805" xr:uid="{24B2E46D-386E-4675-9C26-A336D8C36148}"/>
    <cellStyle name="Normal 4 2 9 3 2 3" xfId="4806" xr:uid="{A3920CB0-EA2A-465C-A28E-167ACB9405BD}"/>
    <cellStyle name="Normal 4 2 9 3 3" xfId="4807" xr:uid="{4899A0EF-4E84-45E7-B959-6D5D9CF97A1A}"/>
    <cellStyle name="Normal 4 2 9 3 4" xfId="4808" xr:uid="{2B35B40D-D9D5-45BB-BF0B-36BDB2D544BB}"/>
    <cellStyle name="Normal 4 2 9 3 5" xfId="4809" xr:uid="{7C8CD7DE-1DF3-4B83-AC82-E4FAFF0C32E0}"/>
    <cellStyle name="Normal 4 2 9 4" xfId="4810" xr:uid="{3A61F85C-C5E6-4D65-A522-1FAE0AE7BC28}"/>
    <cellStyle name="Normal 4 2 9 4 2" xfId="4811" xr:uid="{236275F1-AF07-4045-982B-650CB0E4D116}"/>
    <cellStyle name="Normal 4 2 9 4 3" xfId="4812" xr:uid="{57A22D58-E75A-4C60-95DA-87B3A9343EC6}"/>
    <cellStyle name="Normal 4 2 9 5" xfId="4813" xr:uid="{4991BAE7-EB07-4009-B4D3-BFC489BD8E68}"/>
    <cellStyle name="Normal 4 2 9 6" xfId="4814" xr:uid="{6290DF29-E3CF-48E3-BF5E-074C0E25E1B5}"/>
    <cellStyle name="Normal 4 2 9 7" xfId="4815" xr:uid="{2F2F60FD-08DE-4FFD-AC0A-7AF54276ED91}"/>
    <cellStyle name="Normal 4 3" xfId="524" xr:uid="{31BADCF9-31E6-4D29-81A1-125109C1D9BD}"/>
    <cellStyle name="Normal 4 3 10" xfId="4816" xr:uid="{7B16FC3C-4177-4F36-A0D1-A89535C77787}"/>
    <cellStyle name="Normal 4 3 10 2" xfId="4817" xr:uid="{AD77A51D-CCE5-413D-9EC5-9070DF22590A}"/>
    <cellStyle name="Normal 4 3 10 2 2" xfId="4818" xr:uid="{E1A17E7D-70E2-4AA3-8165-8EE7062B08E1}"/>
    <cellStyle name="Normal 4 3 10 2 2 2" xfId="4819" xr:uid="{88D8EBE0-4461-4BAE-9C12-866D66FBB677}"/>
    <cellStyle name="Normal 4 3 10 2 2 3" xfId="4820" xr:uid="{31759DFE-1C24-47BB-A145-BF363DAE2FF5}"/>
    <cellStyle name="Normal 4 3 10 2 3" xfId="4821" xr:uid="{62B117CD-15DF-4FC3-B484-6173313E95F8}"/>
    <cellStyle name="Normal 4 3 10 2 4" xfId="4822" xr:uid="{BED9993B-0934-4BEB-A255-FDC3486F4E0A}"/>
    <cellStyle name="Normal 4 3 10 2 5" xfId="4823" xr:uid="{33186107-F9FA-4701-B629-F3556326442A}"/>
    <cellStyle name="Normal 4 3 10 3" xfId="4824" xr:uid="{5962E1D9-2E9E-45CB-BD8C-93847538AE91}"/>
    <cellStyle name="Normal 4 3 10 3 2" xfId="4825" xr:uid="{675496F2-69F5-498D-8AAD-238D0081B965}"/>
    <cellStyle name="Normal 4 3 10 3 2 2" xfId="4826" xr:uid="{078754BE-575F-49CA-B829-7316631C496B}"/>
    <cellStyle name="Normal 4 3 10 3 2 3" xfId="4827" xr:uid="{195B65D3-855E-4C15-8CBE-07D563C0AD7B}"/>
    <cellStyle name="Normal 4 3 10 3 3" xfId="4828" xr:uid="{51BAC71F-075A-45F4-9C8A-AF6FF8E4537A}"/>
    <cellStyle name="Normal 4 3 10 3 4" xfId="4829" xr:uid="{DB74DD4A-278B-4B00-A9D8-14385D8DF8CF}"/>
    <cellStyle name="Normal 4 3 10 3 5" xfId="4830" xr:uid="{F4104A78-95AA-469A-821E-14A85F9A55E9}"/>
    <cellStyle name="Normal 4 3 10 4" xfId="4831" xr:uid="{47EE5B1F-1EDE-4257-B9DC-3D8054E172E1}"/>
    <cellStyle name="Normal 4 3 10 4 2" xfId="4832" xr:uid="{819192C1-E94E-430A-9AF0-B367C7441E8A}"/>
    <cellStyle name="Normal 4 3 10 4 3" xfId="4833" xr:uid="{44A97A84-1139-49C3-9731-79B199CDDF4C}"/>
    <cellStyle name="Normal 4 3 10 5" xfId="4834" xr:uid="{11825A49-6757-4ECD-B159-792346713888}"/>
    <cellStyle name="Normal 4 3 10 6" xfId="4835" xr:uid="{CE13B169-24A2-492E-9F36-DA5C90FDCDBD}"/>
    <cellStyle name="Normal 4 3 10 7" xfId="4836" xr:uid="{5B006481-B1C1-4BF3-B35A-8608EF7032F6}"/>
    <cellStyle name="Normal 4 3 11" xfId="4837" xr:uid="{E2FF6BD4-3511-4FE8-B287-4C9F920117D9}"/>
    <cellStyle name="Normal 4 3 11 2" xfId="4838" xr:uid="{EFFE51A2-2D5A-4B54-9257-DEEE2DF8A758}"/>
    <cellStyle name="Normal 4 3 11 2 2" xfId="4839" xr:uid="{E19093CF-9FDF-44BC-AA3B-E09B33C518DD}"/>
    <cellStyle name="Normal 4 3 11 2 3" xfId="4840" xr:uid="{1B1C25D2-1E00-483A-A194-38B2221EAC1E}"/>
    <cellStyle name="Normal 4 3 11 3" xfId="4841" xr:uid="{7F186DF3-3184-466D-B1F4-8E8A19BE2321}"/>
    <cellStyle name="Normal 4 3 11 4" xfId="4842" xr:uid="{858C744E-03F3-43F9-8E8D-F75A409DC180}"/>
    <cellStyle name="Normal 4 3 11 5" xfId="4843" xr:uid="{1B0AFF0C-7D1A-4238-9D23-322C22067A89}"/>
    <cellStyle name="Normal 4 3 12" xfId="4844" xr:uid="{19587FEA-B2B3-4E0A-BA70-EDA3BD2882D1}"/>
    <cellStyle name="Normal 4 3 12 2" xfId="4845" xr:uid="{37D86E1E-CD45-462C-A7FC-5854BE196687}"/>
    <cellStyle name="Normal 4 3 12 2 2" xfId="4846" xr:uid="{5D93D691-BB91-4E61-AA45-211C8E1FB108}"/>
    <cellStyle name="Normal 4 3 12 2 3" xfId="4847" xr:uid="{CD4C2649-3F0F-42BA-84A0-60AAD0115A92}"/>
    <cellStyle name="Normal 4 3 12 3" xfId="4848" xr:uid="{872F180B-6797-4D55-B166-1947E1B6B59F}"/>
    <cellStyle name="Normal 4 3 12 4" xfId="4849" xr:uid="{619168FF-B9C2-42B2-9343-18C31EDA65DF}"/>
    <cellStyle name="Normal 4 3 12 5" xfId="4850" xr:uid="{406F4AD2-A5AA-47F5-B402-2A681DADA091}"/>
    <cellStyle name="Normal 4 3 13" xfId="4851" xr:uid="{9EC2ACB9-DED6-49F9-9066-E50F9D0C5741}"/>
    <cellStyle name="Normal 4 3 13 2" xfId="4852" xr:uid="{F2F28071-9A56-4257-BE13-FC86C812B41D}"/>
    <cellStyle name="Normal 4 3 13 3" xfId="4853" xr:uid="{59853515-2F6C-4713-9D3F-A06285E196D2}"/>
    <cellStyle name="Normal 4 3 14" xfId="4854" xr:uid="{6E9F5608-4C8D-4D42-ABF8-F38371226B51}"/>
    <cellStyle name="Normal 4 3 15" xfId="4855" xr:uid="{C6FF95C9-03B6-41C1-872C-A26C454782BE}"/>
    <cellStyle name="Normal 4 3 16" xfId="4856" xr:uid="{889A6DFB-F5D6-4001-A354-9CDF598F090E}"/>
    <cellStyle name="Normal 4 3 17" xfId="1124" xr:uid="{50652AEB-91D3-41A0-991B-7D16759E3951}"/>
    <cellStyle name="Normal 4 3 2" xfId="1106" xr:uid="{D692DD4F-AEB6-4C14-B5CB-5C4BDBB9F018}"/>
    <cellStyle name="Normal 4 3 2 10" xfId="4857" xr:uid="{BF703B54-0944-477F-91E8-9F2F5EF4399A}"/>
    <cellStyle name="Normal 4 3 2 10 2" xfId="4858" xr:uid="{3D243EB4-9384-4EF3-9B44-E2543ABF4D07}"/>
    <cellStyle name="Normal 4 3 2 10 2 2" xfId="4859" xr:uid="{41EC4D30-43FC-43BE-9A76-0B0D0DF4A610}"/>
    <cellStyle name="Normal 4 3 2 10 2 3" xfId="4860" xr:uid="{CC78BC84-42F5-4607-8C65-E198574DACEF}"/>
    <cellStyle name="Normal 4 3 2 10 3" xfId="4861" xr:uid="{CFF8589C-AAE9-4266-9656-873499BEB121}"/>
    <cellStyle name="Normal 4 3 2 10 4" xfId="4862" xr:uid="{4238E01C-CDFF-4AC9-9D31-89436F3FBB27}"/>
    <cellStyle name="Normal 4 3 2 10 5" xfId="4863" xr:uid="{2B3B69C4-A010-4904-A23E-707EDAD02856}"/>
    <cellStyle name="Normal 4 3 2 11" xfId="4864" xr:uid="{42B7E641-2090-49B4-8F64-9FA3BED1A450}"/>
    <cellStyle name="Normal 4 3 2 11 2" xfId="4865" xr:uid="{E9D01308-C25E-4E32-B403-23AD88CEC802}"/>
    <cellStyle name="Normal 4 3 2 11 3" xfId="4866" xr:uid="{5AEC182A-AC75-4770-96F5-C2B4DD909133}"/>
    <cellStyle name="Normal 4 3 2 12" xfId="4867" xr:uid="{DC014E77-97DC-4AD6-82F3-F31EF83F1FCE}"/>
    <cellStyle name="Normal 4 3 2 13" xfId="4868" xr:uid="{1C12522C-8010-4FF7-970A-73770F0F1433}"/>
    <cellStyle name="Normal 4 3 2 14" xfId="4869" xr:uid="{EF0E20AD-09A0-43E8-9B9F-93AC011210C5}"/>
    <cellStyle name="Normal 4 3 2 2" xfId="4870" xr:uid="{08F15E9A-05EA-4DEA-BC03-B38C5921BF21}"/>
    <cellStyle name="Normal 4 3 2 2 10" xfId="4871" xr:uid="{D7D752D4-2308-45CC-B7B5-9FEB582E136E}"/>
    <cellStyle name="Normal 4 3 2 2 10 2" xfId="4872" xr:uid="{BC93C9AE-305E-46C3-830E-94DEC1B99DCD}"/>
    <cellStyle name="Normal 4 3 2 2 10 3" xfId="4873" xr:uid="{98FDDE14-8532-46A7-9FD3-2A7928966FAB}"/>
    <cellStyle name="Normal 4 3 2 2 11" xfId="4874" xr:uid="{B01BCE88-4084-49C1-8C7C-C2DA264B93E0}"/>
    <cellStyle name="Normal 4 3 2 2 12" xfId="4875" xr:uid="{BC3F4DBA-4B2E-4578-AE17-AAEB7D2F8543}"/>
    <cellStyle name="Normal 4 3 2 2 13" xfId="4876" xr:uid="{031C1A8E-F30E-4DB9-A191-DDF4CAF7921C}"/>
    <cellStyle name="Normal 4 3 2 2 2" xfId="4877" xr:uid="{BC4AE759-5C3E-4612-ADF9-3245AD710963}"/>
    <cellStyle name="Normal 4 3 2 2 2 2" xfId="4878" xr:uid="{759CFB47-6677-47CE-B4EB-AF01D1B3357A}"/>
    <cellStyle name="Normal 4 3 2 2 2 2 2" xfId="4879" xr:uid="{3AB78731-A651-4C83-BB6F-EE91342D9775}"/>
    <cellStyle name="Normal 4 3 2 2 2 2 2 2" xfId="4880" xr:uid="{B934FCA8-8188-48C2-929C-3B501C4FBE8C}"/>
    <cellStyle name="Normal 4 3 2 2 2 2 2 2 2" xfId="4881" xr:uid="{28FC81E5-5018-4097-97B0-2FFA5A11B692}"/>
    <cellStyle name="Normal 4 3 2 2 2 2 2 2 2 2" xfId="4882" xr:uid="{1941E42B-FD0A-457E-A544-C34A411D14D6}"/>
    <cellStyle name="Normal 4 3 2 2 2 2 2 2 2 3" xfId="4883" xr:uid="{A8937699-AF49-4A1B-951F-658E9D784303}"/>
    <cellStyle name="Normal 4 3 2 2 2 2 2 2 3" xfId="4884" xr:uid="{374405FB-1CE5-4DF8-BC83-1B875C6B4D70}"/>
    <cellStyle name="Normal 4 3 2 2 2 2 2 2 4" xfId="4885" xr:uid="{D0859170-9FF9-409E-8BEF-FCBAC00B06B6}"/>
    <cellStyle name="Normal 4 3 2 2 2 2 2 2 5" xfId="4886" xr:uid="{07BB3E56-89F8-4B96-B46C-A2C59B6DA120}"/>
    <cellStyle name="Normal 4 3 2 2 2 2 2 3" xfId="4887" xr:uid="{9B9B1F17-8DAC-42CD-B5AC-3D2C02297114}"/>
    <cellStyle name="Normal 4 3 2 2 2 2 2 3 2" xfId="4888" xr:uid="{8E5953A2-FE5F-4FDC-A3CF-269DA8E1D7DC}"/>
    <cellStyle name="Normal 4 3 2 2 2 2 2 3 2 2" xfId="4889" xr:uid="{FEE5BD3E-7B2E-4999-B746-760E1E45763B}"/>
    <cellStyle name="Normal 4 3 2 2 2 2 2 3 2 3" xfId="4890" xr:uid="{316D2C9C-0D4F-4167-8A05-E5D056A46779}"/>
    <cellStyle name="Normal 4 3 2 2 2 2 2 3 3" xfId="4891" xr:uid="{06950D15-BDF5-41BD-9789-A2FDAF5390EC}"/>
    <cellStyle name="Normal 4 3 2 2 2 2 2 3 4" xfId="4892" xr:uid="{ACDC4745-6E4F-464C-8C16-C1A32D286534}"/>
    <cellStyle name="Normal 4 3 2 2 2 2 2 3 5" xfId="4893" xr:uid="{01DDE1B9-4CDB-47F2-A4EB-C2D65B2D5D08}"/>
    <cellStyle name="Normal 4 3 2 2 2 2 2 4" xfId="4894" xr:uid="{B43CE6F1-B4CE-499D-8E06-8FD83DC1A411}"/>
    <cellStyle name="Normal 4 3 2 2 2 2 2 4 2" xfId="4895" xr:uid="{E1C33DC1-BFAD-49A4-8AEB-C7C9B099CB1F}"/>
    <cellStyle name="Normal 4 3 2 2 2 2 2 4 3" xfId="4896" xr:uid="{334221F7-E2FC-40ED-AA02-3D004980FB58}"/>
    <cellStyle name="Normal 4 3 2 2 2 2 2 5" xfId="4897" xr:uid="{C90741BC-1374-45D9-817F-DA013A98D9AA}"/>
    <cellStyle name="Normal 4 3 2 2 2 2 2 6" xfId="4898" xr:uid="{FC558BEB-0770-42ED-AEE3-0A839C5EF2CD}"/>
    <cellStyle name="Normal 4 3 2 2 2 2 2 7" xfId="4899" xr:uid="{34272643-9EF9-458B-A3F5-E594D9229BD7}"/>
    <cellStyle name="Normal 4 3 2 2 2 2 3" xfId="4900" xr:uid="{80481044-7F6D-411B-AE16-37F713BE1C4C}"/>
    <cellStyle name="Normal 4 3 2 2 2 2 3 2" xfId="4901" xr:uid="{D6E18860-CA29-4C9A-8615-C6CD4FA27A57}"/>
    <cellStyle name="Normal 4 3 2 2 2 2 3 2 2" xfId="4902" xr:uid="{E84E879E-A490-4C61-8042-5F640566BC90}"/>
    <cellStyle name="Normal 4 3 2 2 2 2 3 2 3" xfId="4903" xr:uid="{5B0294F0-E5E8-4C57-8D05-8C53874B4C74}"/>
    <cellStyle name="Normal 4 3 2 2 2 2 3 3" xfId="4904" xr:uid="{E07C122F-C5C7-4E29-92E3-343CB446D4EF}"/>
    <cellStyle name="Normal 4 3 2 2 2 2 3 4" xfId="4905" xr:uid="{0F8D4019-AE1F-4F34-BC2B-AADB9FD1782C}"/>
    <cellStyle name="Normal 4 3 2 2 2 2 3 5" xfId="4906" xr:uid="{82D8C959-1528-489B-853D-A2C42D8E0F43}"/>
    <cellStyle name="Normal 4 3 2 2 2 2 4" xfId="4907" xr:uid="{72D9C243-7428-4537-B486-BF91D2481245}"/>
    <cellStyle name="Normal 4 3 2 2 2 2 4 2" xfId="4908" xr:uid="{BB4A393E-B0B5-47F4-86FA-BADF040CF276}"/>
    <cellStyle name="Normal 4 3 2 2 2 2 4 2 2" xfId="4909" xr:uid="{17BFE791-704E-448E-8816-DC6FEB66EB56}"/>
    <cellStyle name="Normal 4 3 2 2 2 2 4 2 3" xfId="4910" xr:uid="{7D4D2CB7-F721-482A-A0C4-CD279D51AD80}"/>
    <cellStyle name="Normal 4 3 2 2 2 2 4 3" xfId="4911" xr:uid="{6FDC1647-8612-4D56-A026-617BEA3087D1}"/>
    <cellStyle name="Normal 4 3 2 2 2 2 4 4" xfId="4912" xr:uid="{88362D46-491B-4022-A731-6A7FD87D7465}"/>
    <cellStyle name="Normal 4 3 2 2 2 2 4 5" xfId="4913" xr:uid="{3C248AC2-DB2E-4857-BA7F-1C02180A3FFB}"/>
    <cellStyle name="Normal 4 3 2 2 2 2 5" xfId="4914" xr:uid="{EF7A0EC0-A78C-4A1B-8BD0-FDC23E193AA1}"/>
    <cellStyle name="Normal 4 3 2 2 2 2 5 2" xfId="4915" xr:uid="{302A5F20-BD9D-4128-A31D-82109234154D}"/>
    <cellStyle name="Normal 4 3 2 2 2 2 5 3" xfId="4916" xr:uid="{7983707C-C84E-449A-80D4-3BF24344C3AB}"/>
    <cellStyle name="Normal 4 3 2 2 2 2 6" xfId="4917" xr:uid="{790D7C69-81AA-44F4-A93A-2447AFE8BD9E}"/>
    <cellStyle name="Normal 4 3 2 2 2 2 7" xfId="4918" xr:uid="{F7F44F28-DD5E-43D8-92E9-4839013CDB0A}"/>
    <cellStyle name="Normal 4 3 2 2 2 2 8" xfId="4919" xr:uid="{0F1CA239-869E-43E8-A0E9-7A987B6D4B6B}"/>
    <cellStyle name="Normal 4 3 2 2 2 3" xfId="4920" xr:uid="{DFBCECF8-0DD9-4DE9-B043-E7549D2B9FC5}"/>
    <cellStyle name="Normal 4 3 2 2 2 3 2" xfId="4921" xr:uid="{83BC874D-72BF-4768-B29D-6FB470E5952A}"/>
    <cellStyle name="Normal 4 3 2 2 2 3 2 2" xfId="4922" xr:uid="{8E77523E-4937-4C75-833D-8A31122C12B6}"/>
    <cellStyle name="Normal 4 3 2 2 2 3 2 2 2" xfId="4923" xr:uid="{51DF0460-02AC-4493-8679-AB3D4F6D5C3B}"/>
    <cellStyle name="Normal 4 3 2 2 2 3 2 2 3" xfId="4924" xr:uid="{1C0A0ACB-31FC-42A1-A9B8-5BB459B2BFDF}"/>
    <cellStyle name="Normal 4 3 2 2 2 3 2 3" xfId="4925" xr:uid="{13B4D9D5-EAE7-4E04-8EF1-69033DB6F2C7}"/>
    <cellStyle name="Normal 4 3 2 2 2 3 2 4" xfId="4926" xr:uid="{82780080-7DB6-4B3C-90B9-80A34A615F10}"/>
    <cellStyle name="Normal 4 3 2 2 2 3 2 5" xfId="4927" xr:uid="{A093DF25-A798-4751-8DFF-1097E4D03A3C}"/>
    <cellStyle name="Normal 4 3 2 2 2 3 3" xfId="4928" xr:uid="{9A00E85D-194C-42FE-84B6-DD5FF21B387D}"/>
    <cellStyle name="Normal 4 3 2 2 2 3 3 2" xfId="4929" xr:uid="{357F8343-1CAF-4334-A37B-AEDB950CF7E4}"/>
    <cellStyle name="Normal 4 3 2 2 2 3 3 2 2" xfId="4930" xr:uid="{869826B9-5ABF-428F-9B84-C67B546AC1D5}"/>
    <cellStyle name="Normal 4 3 2 2 2 3 3 2 3" xfId="4931" xr:uid="{EA2085FA-8B75-4F6F-9488-10FDCEF82E06}"/>
    <cellStyle name="Normal 4 3 2 2 2 3 3 3" xfId="4932" xr:uid="{45A896B6-4EF6-4530-9F55-E46FB9A69BA0}"/>
    <cellStyle name="Normal 4 3 2 2 2 3 3 4" xfId="4933" xr:uid="{8C26FFA7-49AF-48CA-9F23-A0406B9D26BE}"/>
    <cellStyle name="Normal 4 3 2 2 2 3 3 5" xfId="4934" xr:uid="{89E49B32-D8E5-40E2-9190-525399921FB9}"/>
    <cellStyle name="Normal 4 3 2 2 2 3 4" xfId="4935" xr:uid="{1923CEA2-82D3-45F8-9AF7-093EBEE877D7}"/>
    <cellStyle name="Normal 4 3 2 2 2 3 4 2" xfId="4936" xr:uid="{F9900811-29E6-442F-B784-DA72A93B7D3C}"/>
    <cellStyle name="Normal 4 3 2 2 2 3 4 3" xfId="4937" xr:uid="{2F6279B9-BC6E-42A0-B39F-38E71010E8B8}"/>
    <cellStyle name="Normal 4 3 2 2 2 3 5" xfId="4938" xr:uid="{B132F44C-8AEE-4201-9A17-1CD2AB4D8D46}"/>
    <cellStyle name="Normal 4 3 2 2 2 3 6" xfId="4939" xr:uid="{D3459E7C-40EE-4985-83EA-D2B098B1CA64}"/>
    <cellStyle name="Normal 4 3 2 2 2 3 7" xfId="4940" xr:uid="{A972B641-A13D-462B-8439-8EEDEC057D81}"/>
    <cellStyle name="Normal 4 3 2 2 2 4" xfId="4941" xr:uid="{2C2B28C6-5AF5-4291-9448-302BD50513CA}"/>
    <cellStyle name="Normal 4 3 2 2 2 4 2" xfId="4942" xr:uid="{3FC78A08-2D77-425E-BD04-11A0D42BC8DB}"/>
    <cellStyle name="Normal 4 3 2 2 2 4 2 2" xfId="4943" xr:uid="{805B57ED-1E16-4AF8-BDAF-6F450D5A6B72}"/>
    <cellStyle name="Normal 4 3 2 2 2 4 2 3" xfId="4944" xr:uid="{9AC23939-0633-4ADA-8FF5-5F1EA8975B36}"/>
    <cellStyle name="Normal 4 3 2 2 2 4 3" xfId="4945" xr:uid="{244016C2-DFBB-42CF-8A55-C0977AEA2F5E}"/>
    <cellStyle name="Normal 4 3 2 2 2 4 4" xfId="4946" xr:uid="{3D73D4C5-72BB-4050-9B65-426DD2DD0944}"/>
    <cellStyle name="Normal 4 3 2 2 2 4 5" xfId="4947" xr:uid="{70FEF65B-3FD0-4676-A1A6-7A0452B995AF}"/>
    <cellStyle name="Normal 4 3 2 2 2 5" xfId="4948" xr:uid="{AAE94E85-331F-4116-8A4C-2CB27B717636}"/>
    <cellStyle name="Normal 4 3 2 2 2 5 2" xfId="4949" xr:uid="{320AD531-5E6D-4D6A-B313-73536743055C}"/>
    <cellStyle name="Normal 4 3 2 2 2 5 2 2" xfId="4950" xr:uid="{F0B391A2-382F-4B58-9BCF-2A80652D979C}"/>
    <cellStyle name="Normal 4 3 2 2 2 5 2 3" xfId="4951" xr:uid="{24F504D5-7D00-4E2B-AE74-F6637668C13C}"/>
    <cellStyle name="Normal 4 3 2 2 2 5 3" xfId="4952" xr:uid="{F1B44F65-A652-44DF-AF51-0ADA6AFC41CB}"/>
    <cellStyle name="Normal 4 3 2 2 2 5 4" xfId="4953" xr:uid="{4E9640EC-188F-4068-90FF-4DC6EC22FBD7}"/>
    <cellStyle name="Normal 4 3 2 2 2 5 5" xfId="4954" xr:uid="{EDB82FD5-89D6-4A2F-98A8-72EC1AFEB6EE}"/>
    <cellStyle name="Normal 4 3 2 2 2 6" xfId="4955" xr:uid="{A6A2E5FD-9931-4EB8-AD3B-7EE606D05487}"/>
    <cellStyle name="Normal 4 3 2 2 2 6 2" xfId="4956" xr:uid="{A0D9E752-1AA5-46F2-9475-680D4C804D2B}"/>
    <cellStyle name="Normal 4 3 2 2 2 6 3" xfId="4957" xr:uid="{7D77EFA5-AC17-41A0-BFBF-3E631CC45370}"/>
    <cellStyle name="Normal 4 3 2 2 2 7" xfId="4958" xr:uid="{60383476-1D81-4663-AC3F-ED2E96A12F7E}"/>
    <cellStyle name="Normal 4 3 2 2 2 8" xfId="4959" xr:uid="{4D81CA97-2279-44CE-8393-3261ADCEE4D2}"/>
    <cellStyle name="Normal 4 3 2 2 2 9" xfId="4960" xr:uid="{735D6DE6-98B5-4F9E-9F5F-9E14D32DFD76}"/>
    <cellStyle name="Normal 4 3 2 2 3" xfId="4961" xr:uid="{F9141AF6-C36F-4FC2-AFD5-436A9E968BC4}"/>
    <cellStyle name="Normal 4 3 2 2 3 2" xfId="4962" xr:uid="{75A76353-61D2-4A5E-87B9-FD9DA7C279B0}"/>
    <cellStyle name="Normal 4 3 2 2 3 2 2" xfId="4963" xr:uid="{C7E42B83-F38A-4DF7-A693-89116CD297B7}"/>
    <cellStyle name="Normal 4 3 2 2 3 2 2 2" xfId="4964" xr:uid="{28A45CB3-ECEA-4452-9D8B-6B70DAAB01B2}"/>
    <cellStyle name="Normal 4 3 2 2 3 2 2 2 2" xfId="4965" xr:uid="{5FB6AD35-06A8-4817-B6AD-9F1AF7ED65CD}"/>
    <cellStyle name="Normal 4 3 2 2 3 2 2 2 2 2" xfId="4966" xr:uid="{A9B555C8-236E-4C10-87F0-159DED269C3D}"/>
    <cellStyle name="Normal 4 3 2 2 3 2 2 2 2 3" xfId="4967" xr:uid="{EE004ADF-B8CE-4AD6-96AF-C05FE25DA7C2}"/>
    <cellStyle name="Normal 4 3 2 2 3 2 2 2 3" xfId="4968" xr:uid="{7655AFB6-A562-4B38-A030-B7045D8BECF1}"/>
    <cellStyle name="Normal 4 3 2 2 3 2 2 2 4" xfId="4969" xr:uid="{295203B9-7BCA-42A1-BE6F-915DEE750980}"/>
    <cellStyle name="Normal 4 3 2 2 3 2 2 2 5" xfId="4970" xr:uid="{58495420-81A3-49E4-8527-AA92B4A2A90F}"/>
    <cellStyle name="Normal 4 3 2 2 3 2 2 3" xfId="4971" xr:uid="{75DF9406-F932-430B-9CA8-6C96A638FDC2}"/>
    <cellStyle name="Normal 4 3 2 2 3 2 2 3 2" xfId="4972" xr:uid="{31168E62-0635-44A0-9866-2DB98B2C0999}"/>
    <cellStyle name="Normal 4 3 2 2 3 2 2 3 2 2" xfId="4973" xr:uid="{C4CD4544-AA1F-4988-B310-967132750020}"/>
    <cellStyle name="Normal 4 3 2 2 3 2 2 3 2 3" xfId="4974" xr:uid="{3969058F-4EB5-4BD3-80DA-0E18F140A482}"/>
    <cellStyle name="Normal 4 3 2 2 3 2 2 3 3" xfId="4975" xr:uid="{65B2956B-44F5-423D-963E-87EB33CD1B25}"/>
    <cellStyle name="Normal 4 3 2 2 3 2 2 3 4" xfId="4976" xr:uid="{98D2B707-8B49-4265-AD60-32C80A815E2A}"/>
    <cellStyle name="Normal 4 3 2 2 3 2 2 3 5" xfId="4977" xr:uid="{B4635A7E-E64D-47F6-9C0A-433D6E186F1C}"/>
    <cellStyle name="Normal 4 3 2 2 3 2 2 4" xfId="4978" xr:uid="{28D1CA9A-89AB-4A89-89B8-AE7DF03F2D62}"/>
    <cellStyle name="Normal 4 3 2 2 3 2 2 4 2" xfId="4979" xr:uid="{E4E378D4-1505-41A0-9D75-E36B9F152537}"/>
    <cellStyle name="Normal 4 3 2 2 3 2 2 4 3" xfId="4980" xr:uid="{5FEE4EA6-6CB7-467A-8489-12CB11E9CFE2}"/>
    <cellStyle name="Normal 4 3 2 2 3 2 2 5" xfId="4981" xr:uid="{63707F59-44FB-4D01-AB8B-A4B48AD600C6}"/>
    <cellStyle name="Normal 4 3 2 2 3 2 2 6" xfId="4982" xr:uid="{75E13241-76E1-461F-8D49-C9CCE6FBB636}"/>
    <cellStyle name="Normal 4 3 2 2 3 2 2 7" xfId="4983" xr:uid="{8E5C3D2C-B23B-4C9D-A00F-2B0338DDCECB}"/>
    <cellStyle name="Normal 4 3 2 2 3 2 3" xfId="4984" xr:uid="{B718650E-BF88-47F5-BC43-FE9998504A0A}"/>
    <cellStyle name="Normal 4 3 2 2 3 2 3 2" xfId="4985" xr:uid="{1FC6A6A3-3E1E-4334-BE0D-28FB778972D5}"/>
    <cellStyle name="Normal 4 3 2 2 3 2 3 2 2" xfId="4986" xr:uid="{0559A397-15C5-48E2-80DF-351BAC141BB3}"/>
    <cellStyle name="Normal 4 3 2 2 3 2 3 2 3" xfId="4987" xr:uid="{75F0283A-F66A-4E78-AE9F-125730EC40E5}"/>
    <cellStyle name="Normal 4 3 2 2 3 2 3 3" xfId="4988" xr:uid="{43B41AA0-A25D-4DB8-AA50-A8BD2EEF76EA}"/>
    <cellStyle name="Normal 4 3 2 2 3 2 3 4" xfId="4989" xr:uid="{A426D31D-F714-474F-A494-56E0E320F85B}"/>
    <cellStyle name="Normal 4 3 2 2 3 2 3 5" xfId="4990" xr:uid="{C10F323B-D778-4006-88C9-C2F1DF9775B1}"/>
    <cellStyle name="Normal 4 3 2 2 3 2 4" xfId="4991" xr:uid="{8FDCD210-19B6-46B4-9A83-E3948A3A5A04}"/>
    <cellStyle name="Normal 4 3 2 2 3 2 4 2" xfId="4992" xr:uid="{1C68842D-AD01-4949-B936-4BD7730EDE8F}"/>
    <cellStyle name="Normal 4 3 2 2 3 2 4 2 2" xfId="4993" xr:uid="{F478E80E-71BF-41C5-BDD3-CBD0298D3E77}"/>
    <cellStyle name="Normal 4 3 2 2 3 2 4 2 3" xfId="4994" xr:uid="{2E45D8E8-B160-4811-B20C-F8B2B4E0EF95}"/>
    <cellStyle name="Normal 4 3 2 2 3 2 4 3" xfId="4995" xr:uid="{B3467A56-7B34-415E-96F3-519A13A9549A}"/>
    <cellStyle name="Normal 4 3 2 2 3 2 4 4" xfId="4996" xr:uid="{0C149383-2E75-4BA5-8155-61F92A868CAB}"/>
    <cellStyle name="Normal 4 3 2 2 3 2 4 5" xfId="4997" xr:uid="{3A712031-6682-475B-A015-7413A5457FE5}"/>
    <cellStyle name="Normal 4 3 2 2 3 2 5" xfId="4998" xr:uid="{0045BC9F-A997-4A25-A144-206475EF04FF}"/>
    <cellStyle name="Normal 4 3 2 2 3 2 5 2" xfId="4999" xr:uid="{806DAEFD-451A-41C6-9EC9-F66CCBC84665}"/>
    <cellStyle name="Normal 4 3 2 2 3 2 5 3" xfId="5000" xr:uid="{ECC39224-05AD-430A-9E7A-AF85D464CEE9}"/>
    <cellStyle name="Normal 4 3 2 2 3 2 6" xfId="5001" xr:uid="{F9761122-F810-46D2-BDF7-E2FD4C1E4B59}"/>
    <cellStyle name="Normal 4 3 2 2 3 2 7" xfId="5002" xr:uid="{CF598F5E-8A95-4FB7-AC9F-41D036CBC0C5}"/>
    <cellStyle name="Normal 4 3 2 2 3 2 8" xfId="5003" xr:uid="{85AD6A01-FCB4-45AF-9EFB-E155D5DB8D5B}"/>
    <cellStyle name="Normal 4 3 2 2 3 3" xfId="5004" xr:uid="{6649D20F-90EE-481F-B1F8-D22DB127244A}"/>
    <cellStyle name="Normal 4 3 2 2 3 3 2" xfId="5005" xr:uid="{D679A73C-A731-4707-9A2B-8AC3B8BD6394}"/>
    <cellStyle name="Normal 4 3 2 2 3 3 2 2" xfId="5006" xr:uid="{D5E77997-6EB6-4537-9BEC-F575C3E7A4FF}"/>
    <cellStyle name="Normal 4 3 2 2 3 3 2 2 2" xfId="5007" xr:uid="{4CA8533B-03A8-48B6-B3C0-B511B076D554}"/>
    <cellStyle name="Normal 4 3 2 2 3 3 2 2 3" xfId="5008" xr:uid="{826C2A7C-EA3D-4184-8D4E-B223CB8D0D7D}"/>
    <cellStyle name="Normal 4 3 2 2 3 3 2 3" xfId="5009" xr:uid="{387E3DAB-077E-4123-B438-0CB8EF484DC7}"/>
    <cellStyle name="Normal 4 3 2 2 3 3 2 4" xfId="5010" xr:uid="{9B622CF5-BDD9-46E7-B627-D328A46E8E89}"/>
    <cellStyle name="Normal 4 3 2 2 3 3 2 5" xfId="5011" xr:uid="{3F5D0DC7-D204-49E8-A427-BBBB8608DD23}"/>
    <cellStyle name="Normal 4 3 2 2 3 3 3" xfId="5012" xr:uid="{9C682B01-BC8D-4DB5-8B89-C650C22E565A}"/>
    <cellStyle name="Normal 4 3 2 2 3 3 3 2" xfId="5013" xr:uid="{38E52522-EB10-4AEE-97CA-3A09065A4D43}"/>
    <cellStyle name="Normal 4 3 2 2 3 3 3 2 2" xfId="5014" xr:uid="{422B4667-60C3-4606-A7A5-A1384903DCCF}"/>
    <cellStyle name="Normal 4 3 2 2 3 3 3 2 3" xfId="5015" xr:uid="{D18896A7-3544-46F9-BCC0-21E92ED3FDF1}"/>
    <cellStyle name="Normal 4 3 2 2 3 3 3 3" xfId="5016" xr:uid="{A5CF1558-34A3-4F5F-B7A4-BEC0A59010D8}"/>
    <cellStyle name="Normal 4 3 2 2 3 3 3 4" xfId="5017" xr:uid="{556D3163-2357-4014-B541-5E859900C489}"/>
    <cellStyle name="Normal 4 3 2 2 3 3 3 5" xfId="5018" xr:uid="{55A9F5E0-8781-40E8-80F1-B6B6F49F3325}"/>
    <cellStyle name="Normal 4 3 2 2 3 3 4" xfId="5019" xr:uid="{C781D004-1E55-4574-95EB-5297D976F331}"/>
    <cellStyle name="Normal 4 3 2 2 3 3 4 2" xfId="5020" xr:uid="{0A9B8702-F0C9-4468-B998-8BCC174E802B}"/>
    <cellStyle name="Normal 4 3 2 2 3 3 4 3" xfId="5021" xr:uid="{05C3B51A-A298-4E0F-964B-58D32A453C02}"/>
    <cellStyle name="Normal 4 3 2 2 3 3 5" xfId="5022" xr:uid="{F5F53308-09C7-45BE-BC87-7B6D10E70734}"/>
    <cellStyle name="Normal 4 3 2 2 3 3 6" xfId="5023" xr:uid="{CA795842-2041-40FA-983B-682436D4D7AF}"/>
    <cellStyle name="Normal 4 3 2 2 3 3 7" xfId="5024" xr:uid="{BEEEB49D-4700-4795-BD8F-8B02B3445B3C}"/>
    <cellStyle name="Normal 4 3 2 2 3 4" xfId="5025" xr:uid="{F783A473-AD49-4A40-B110-773AF62D928C}"/>
    <cellStyle name="Normal 4 3 2 2 3 4 2" xfId="5026" xr:uid="{7B5A433D-4516-4D5C-BA96-C11C2655F325}"/>
    <cellStyle name="Normal 4 3 2 2 3 4 2 2" xfId="5027" xr:uid="{8E18A0B2-12C1-435F-885D-F4ECE78E6E7D}"/>
    <cellStyle name="Normal 4 3 2 2 3 4 2 3" xfId="5028" xr:uid="{6110600E-5449-45C6-A72C-E9B9AA5C3DCF}"/>
    <cellStyle name="Normal 4 3 2 2 3 4 3" xfId="5029" xr:uid="{5093F654-D0B7-4BF9-B366-B0233B00D0D2}"/>
    <cellStyle name="Normal 4 3 2 2 3 4 4" xfId="5030" xr:uid="{07E45021-089A-4B0D-A14E-7EC9550B21B8}"/>
    <cellStyle name="Normal 4 3 2 2 3 4 5" xfId="5031" xr:uid="{38CA80ED-EEA2-4270-88BA-C1837247869A}"/>
    <cellStyle name="Normal 4 3 2 2 3 5" xfId="5032" xr:uid="{384A204E-F375-4F80-AA64-8BC484C46BDD}"/>
    <cellStyle name="Normal 4 3 2 2 3 5 2" xfId="5033" xr:uid="{1FE218C8-01AA-4F8E-96F5-212D1C775244}"/>
    <cellStyle name="Normal 4 3 2 2 3 5 2 2" xfId="5034" xr:uid="{7873D753-204B-47BF-97AE-A0AC7063A649}"/>
    <cellStyle name="Normal 4 3 2 2 3 5 2 3" xfId="5035" xr:uid="{C51F3731-AFF0-4155-8256-283F6D64314B}"/>
    <cellStyle name="Normal 4 3 2 2 3 5 3" xfId="5036" xr:uid="{BA88BB21-A6E0-4DCC-BACA-FB6BC9A02F2E}"/>
    <cellStyle name="Normal 4 3 2 2 3 5 4" xfId="5037" xr:uid="{67F72F79-F306-48C3-8B57-E7BECE9D12FF}"/>
    <cellStyle name="Normal 4 3 2 2 3 5 5" xfId="5038" xr:uid="{8EDD0DFB-A6A5-4D9D-B6B6-19BD40CD9D28}"/>
    <cellStyle name="Normal 4 3 2 2 3 6" xfId="5039" xr:uid="{4CA2A166-D9D7-4369-BC1E-F05848436216}"/>
    <cellStyle name="Normal 4 3 2 2 3 6 2" xfId="5040" xr:uid="{C3682A7E-AADD-42EA-A135-CADC49CC5476}"/>
    <cellStyle name="Normal 4 3 2 2 3 6 3" xfId="5041" xr:uid="{4DDC9163-F5A6-4896-A047-398D0DCD39B8}"/>
    <cellStyle name="Normal 4 3 2 2 3 7" xfId="5042" xr:uid="{3B4BA1DF-FA2A-41EF-9D82-83981F6D5B38}"/>
    <cellStyle name="Normal 4 3 2 2 3 8" xfId="5043" xr:uid="{30613FE8-3D27-4AA1-83F3-20BEFD84B8DF}"/>
    <cellStyle name="Normal 4 3 2 2 3 9" xfId="5044" xr:uid="{3EDD00DA-3337-4AF4-8D04-98EA33699E54}"/>
    <cellStyle name="Normal 4 3 2 2 4" xfId="5045" xr:uid="{E29050E6-9697-474D-BE6A-084A56A5613F}"/>
    <cellStyle name="Normal 4 3 2 2 4 2" xfId="5046" xr:uid="{8E8DF1BF-9308-4712-A5EB-90F4A75C3956}"/>
    <cellStyle name="Normal 4 3 2 2 4 2 2" xfId="5047" xr:uid="{743D4C09-DB5E-4FEB-9C3A-84B15633E180}"/>
    <cellStyle name="Normal 4 3 2 2 4 2 2 2" xfId="5048" xr:uid="{30075FF7-A778-4E8E-9FB0-5BCFC8221C57}"/>
    <cellStyle name="Normal 4 3 2 2 4 2 2 2 2" xfId="5049" xr:uid="{5502D6D7-15D5-4832-9725-8FED7CB71059}"/>
    <cellStyle name="Normal 4 3 2 2 4 2 2 2 2 2" xfId="5050" xr:uid="{E353766D-0463-4515-B926-565F17F4ACF3}"/>
    <cellStyle name="Normal 4 3 2 2 4 2 2 2 2 3" xfId="5051" xr:uid="{4DE7492B-14C0-4C72-BFEA-AC2EC0B38767}"/>
    <cellStyle name="Normal 4 3 2 2 4 2 2 2 3" xfId="5052" xr:uid="{04EA1E3A-8471-45E3-AF43-08A1BAB763C3}"/>
    <cellStyle name="Normal 4 3 2 2 4 2 2 2 4" xfId="5053" xr:uid="{9D2B17FA-8B74-49C9-B83C-A97CBBD818FD}"/>
    <cellStyle name="Normal 4 3 2 2 4 2 2 2 5" xfId="5054" xr:uid="{A66AF168-4E41-4839-9814-0CE36F4B9351}"/>
    <cellStyle name="Normal 4 3 2 2 4 2 2 3" xfId="5055" xr:uid="{0ABA91A5-1675-44E3-9C2B-54AAEE6DD99F}"/>
    <cellStyle name="Normal 4 3 2 2 4 2 2 3 2" xfId="5056" xr:uid="{8CA82E89-A61C-4E7F-B8D5-A3DE1058B0A4}"/>
    <cellStyle name="Normal 4 3 2 2 4 2 2 3 2 2" xfId="5057" xr:uid="{8EFD72BB-FB07-4911-9ED1-1CB71E9FC5E7}"/>
    <cellStyle name="Normal 4 3 2 2 4 2 2 3 2 3" xfId="5058" xr:uid="{4EB4E253-8DAE-42DD-83AF-4E4187C83256}"/>
    <cellStyle name="Normal 4 3 2 2 4 2 2 3 3" xfId="5059" xr:uid="{1CE64EAF-D6B8-4125-8903-02E650E91CA5}"/>
    <cellStyle name="Normal 4 3 2 2 4 2 2 3 4" xfId="5060" xr:uid="{01FC8A91-036B-4F5C-9A7F-A055149AB983}"/>
    <cellStyle name="Normal 4 3 2 2 4 2 2 3 5" xfId="5061" xr:uid="{F630969C-8F92-4F43-960D-CDB723422BCC}"/>
    <cellStyle name="Normal 4 3 2 2 4 2 2 4" xfId="5062" xr:uid="{E7BA1D5E-8378-4712-A6FC-E4A2E754D801}"/>
    <cellStyle name="Normal 4 3 2 2 4 2 2 4 2" xfId="5063" xr:uid="{E7C760B4-701E-4820-9369-1552E306FD49}"/>
    <cellStyle name="Normal 4 3 2 2 4 2 2 4 3" xfId="5064" xr:uid="{6C8BF1F1-462B-4B1F-BA38-1A6575C01852}"/>
    <cellStyle name="Normal 4 3 2 2 4 2 2 5" xfId="5065" xr:uid="{7AB32EEA-9C31-4F5D-8842-146812C118CC}"/>
    <cellStyle name="Normal 4 3 2 2 4 2 2 6" xfId="5066" xr:uid="{E556A3C1-6132-4991-93EF-1AC21E6BC469}"/>
    <cellStyle name="Normal 4 3 2 2 4 2 2 7" xfId="5067" xr:uid="{354F31E5-F693-4073-A308-EBAFA48A8707}"/>
    <cellStyle name="Normal 4 3 2 2 4 2 3" xfId="5068" xr:uid="{8D30AEDC-1316-45D0-AAD7-7D7525665657}"/>
    <cellStyle name="Normal 4 3 2 2 4 2 3 2" xfId="5069" xr:uid="{3DA619CF-0263-454A-A94E-7D9EC1B273CB}"/>
    <cellStyle name="Normal 4 3 2 2 4 2 3 2 2" xfId="5070" xr:uid="{07C024C8-B10B-44F9-BB35-4EDEDC2825A3}"/>
    <cellStyle name="Normal 4 3 2 2 4 2 3 2 3" xfId="5071" xr:uid="{5664872A-9B96-4BE9-A39D-614D36F74B5B}"/>
    <cellStyle name="Normal 4 3 2 2 4 2 3 3" xfId="5072" xr:uid="{0ADE6DDB-31DA-433F-B9E2-431FC7A5AF86}"/>
    <cellStyle name="Normal 4 3 2 2 4 2 3 4" xfId="5073" xr:uid="{93A88013-6E8C-4A92-BC5E-BB65137D8577}"/>
    <cellStyle name="Normal 4 3 2 2 4 2 3 5" xfId="5074" xr:uid="{9D6C5440-131F-4754-B4CF-87BDDA0BD752}"/>
    <cellStyle name="Normal 4 3 2 2 4 2 4" xfId="5075" xr:uid="{BDA2700C-ED1A-4B8E-A205-3D8CC625F7CE}"/>
    <cellStyle name="Normal 4 3 2 2 4 2 4 2" xfId="5076" xr:uid="{0E9E2FCC-5AC4-4269-B00D-4290D930F77A}"/>
    <cellStyle name="Normal 4 3 2 2 4 2 4 2 2" xfId="5077" xr:uid="{D1798F6C-6038-4B0E-9BC8-08C7C8AB1F4B}"/>
    <cellStyle name="Normal 4 3 2 2 4 2 4 2 3" xfId="5078" xr:uid="{DB125550-5249-4659-9165-BB9A8B58E216}"/>
    <cellStyle name="Normal 4 3 2 2 4 2 4 3" xfId="5079" xr:uid="{90CA68D9-6397-464A-8122-BDFF106FB1E5}"/>
    <cellStyle name="Normal 4 3 2 2 4 2 4 4" xfId="5080" xr:uid="{D0ADD448-5E5A-489D-B7B3-5099F338C2B3}"/>
    <cellStyle name="Normal 4 3 2 2 4 2 4 5" xfId="5081" xr:uid="{4B6EDC17-3D9E-4A0B-BE9A-204837C33E59}"/>
    <cellStyle name="Normal 4 3 2 2 4 2 5" xfId="5082" xr:uid="{FA56275F-EC07-4E62-8035-2395824B24E2}"/>
    <cellStyle name="Normal 4 3 2 2 4 2 5 2" xfId="5083" xr:uid="{BFAC3F27-DE3F-4883-A211-B3E0C9D9F684}"/>
    <cellStyle name="Normal 4 3 2 2 4 2 5 3" xfId="5084" xr:uid="{7B535B5B-EF44-4BE6-BD07-E948198F0DFE}"/>
    <cellStyle name="Normal 4 3 2 2 4 2 6" xfId="5085" xr:uid="{A5F0433F-CC87-4C71-A298-E1FFAED7F449}"/>
    <cellStyle name="Normal 4 3 2 2 4 2 7" xfId="5086" xr:uid="{CEF93020-B937-4794-A43D-019BB6CE4716}"/>
    <cellStyle name="Normal 4 3 2 2 4 2 8" xfId="5087" xr:uid="{ED2A3B5F-3CF1-4B5F-B620-661C765CCBD5}"/>
    <cellStyle name="Normal 4 3 2 2 4 3" xfId="5088" xr:uid="{BB457F84-FDB5-4110-80F4-12664948695B}"/>
    <cellStyle name="Normal 4 3 2 2 4 3 2" xfId="5089" xr:uid="{9DCB5B6F-DDD5-4B64-86E2-7640E2C1129B}"/>
    <cellStyle name="Normal 4 3 2 2 4 3 2 2" xfId="5090" xr:uid="{7FD2BA4C-4547-47C5-B19E-91FA99A9935F}"/>
    <cellStyle name="Normal 4 3 2 2 4 3 2 2 2" xfId="5091" xr:uid="{ECC71A32-F93A-496C-8767-9C21392710F3}"/>
    <cellStyle name="Normal 4 3 2 2 4 3 2 2 3" xfId="5092" xr:uid="{6F084239-84B7-4C2F-9148-A6D337542DB9}"/>
    <cellStyle name="Normal 4 3 2 2 4 3 2 3" xfId="5093" xr:uid="{3745D384-91D6-4FC8-89D5-C073DAB66FDF}"/>
    <cellStyle name="Normal 4 3 2 2 4 3 2 4" xfId="5094" xr:uid="{9DD5F493-8ECF-45D1-BE31-0A8228B7AD3F}"/>
    <cellStyle name="Normal 4 3 2 2 4 3 2 5" xfId="5095" xr:uid="{FDD16629-3805-40CF-BFA7-CCE20636EDB9}"/>
    <cellStyle name="Normal 4 3 2 2 4 3 3" xfId="5096" xr:uid="{E9BC7148-D39C-4E76-A7BE-C94B46CEBC8A}"/>
    <cellStyle name="Normal 4 3 2 2 4 3 3 2" xfId="5097" xr:uid="{FF038D07-AD31-46D6-9BD2-646846C42FAD}"/>
    <cellStyle name="Normal 4 3 2 2 4 3 3 2 2" xfId="5098" xr:uid="{4B4F7E42-2199-43B0-B61B-65B4ADB6A567}"/>
    <cellStyle name="Normal 4 3 2 2 4 3 3 2 3" xfId="5099" xr:uid="{6F8767D7-0F47-44E9-BE9A-8218B84C5FDA}"/>
    <cellStyle name="Normal 4 3 2 2 4 3 3 3" xfId="5100" xr:uid="{67D19649-B1D6-48FF-8881-31E39478D697}"/>
    <cellStyle name="Normal 4 3 2 2 4 3 3 4" xfId="5101" xr:uid="{21D79715-816B-4F09-A8AF-585D1A6B74EF}"/>
    <cellStyle name="Normal 4 3 2 2 4 3 3 5" xfId="5102" xr:uid="{4F4EA885-2E13-4A0C-A855-ACDABF2CDDD1}"/>
    <cellStyle name="Normal 4 3 2 2 4 3 4" xfId="5103" xr:uid="{28B7AC5E-8126-4756-B2C3-3912263ABB4A}"/>
    <cellStyle name="Normal 4 3 2 2 4 3 4 2" xfId="5104" xr:uid="{1E3491DC-781B-4B33-9A30-4093B85524C2}"/>
    <cellStyle name="Normal 4 3 2 2 4 3 4 3" xfId="5105" xr:uid="{0364E342-C31C-49A5-82E4-2FDB52F2AC11}"/>
    <cellStyle name="Normal 4 3 2 2 4 3 5" xfId="5106" xr:uid="{26391818-B83B-41D5-BA93-C73E5051B33A}"/>
    <cellStyle name="Normal 4 3 2 2 4 3 6" xfId="5107" xr:uid="{D9F627E2-823E-4179-98C6-2D6FF1DB97CD}"/>
    <cellStyle name="Normal 4 3 2 2 4 3 7" xfId="5108" xr:uid="{77C5FC50-2B3E-4061-B641-56F53B740176}"/>
    <cellStyle name="Normal 4 3 2 2 4 4" xfId="5109" xr:uid="{7D015C8B-1D7D-4E73-B30A-7AFFDE933474}"/>
    <cellStyle name="Normal 4 3 2 2 4 4 2" xfId="5110" xr:uid="{9B9E6F6A-D7B3-4E9C-8C69-D1995AE37C38}"/>
    <cellStyle name="Normal 4 3 2 2 4 4 2 2" xfId="5111" xr:uid="{4CA8B45B-CC86-43CB-811B-7B81178FE860}"/>
    <cellStyle name="Normal 4 3 2 2 4 4 2 3" xfId="5112" xr:uid="{4CB11B73-02D2-4671-A2EB-E75A6714629E}"/>
    <cellStyle name="Normal 4 3 2 2 4 4 3" xfId="5113" xr:uid="{D69C6476-FD48-4A6D-90C9-B2E9EE28E0BC}"/>
    <cellStyle name="Normal 4 3 2 2 4 4 4" xfId="5114" xr:uid="{24302645-8B87-461F-94E2-7585DD525E2B}"/>
    <cellStyle name="Normal 4 3 2 2 4 4 5" xfId="5115" xr:uid="{F96F670E-B8B6-4F59-8387-3D318BCE4A97}"/>
    <cellStyle name="Normal 4 3 2 2 4 5" xfId="5116" xr:uid="{07795D82-95F6-41C3-8AD1-2A2431FAFE6C}"/>
    <cellStyle name="Normal 4 3 2 2 4 5 2" xfId="5117" xr:uid="{20CAE3EC-1CBC-448A-B9F4-E1B67D08FF45}"/>
    <cellStyle name="Normal 4 3 2 2 4 5 2 2" xfId="5118" xr:uid="{9FB285A0-DDEB-4D9C-8950-6AB90C55BD22}"/>
    <cellStyle name="Normal 4 3 2 2 4 5 2 3" xfId="5119" xr:uid="{7C9E8FAE-E414-43D3-BF19-925A520F730F}"/>
    <cellStyle name="Normal 4 3 2 2 4 5 3" xfId="5120" xr:uid="{32FFFB63-AE1A-4AAC-B672-CA9D522E66F9}"/>
    <cellStyle name="Normal 4 3 2 2 4 5 4" xfId="5121" xr:uid="{D5AD8DC5-7FB5-467E-BD04-A68770A70F9E}"/>
    <cellStyle name="Normal 4 3 2 2 4 5 5" xfId="5122" xr:uid="{F2D201D9-32D8-46F0-A069-A4CBDD58D7F4}"/>
    <cellStyle name="Normal 4 3 2 2 4 6" xfId="5123" xr:uid="{09562674-9267-4AB6-836A-BA25E0B36B55}"/>
    <cellStyle name="Normal 4 3 2 2 4 6 2" xfId="5124" xr:uid="{43DCB9B8-250D-469A-8ABD-9DB973E653D8}"/>
    <cellStyle name="Normal 4 3 2 2 4 6 3" xfId="5125" xr:uid="{5DC01F9A-72EE-4AF4-9CFD-9694825697B0}"/>
    <cellStyle name="Normal 4 3 2 2 4 7" xfId="5126" xr:uid="{2B01ED2A-B628-4A00-A461-F820C6A04724}"/>
    <cellStyle name="Normal 4 3 2 2 4 8" xfId="5127" xr:uid="{713DF33B-896A-4539-8874-CEFCF47B3F4F}"/>
    <cellStyle name="Normal 4 3 2 2 4 9" xfId="5128" xr:uid="{7D178B0F-C27E-43E9-9505-5E508601430B}"/>
    <cellStyle name="Normal 4 3 2 2 5" xfId="5129" xr:uid="{3EC476F5-093E-4CC4-B28B-B385BA3326A0}"/>
    <cellStyle name="Normal 4 3 2 2 5 2" xfId="5130" xr:uid="{D33EEF2A-93A2-4CDE-81F7-6AABD177968B}"/>
    <cellStyle name="Normal 4 3 2 2 5 2 2" xfId="5131" xr:uid="{DB2DE8EA-19FE-4591-9C67-F82C61BA96E1}"/>
    <cellStyle name="Normal 4 3 2 2 5 2 2 2" xfId="5132" xr:uid="{3B3C8190-950E-4CCC-9A86-8E26CA9DD7DA}"/>
    <cellStyle name="Normal 4 3 2 2 5 2 2 2 2" xfId="5133" xr:uid="{0A47E41C-958E-4FDA-9255-F000C18C5D01}"/>
    <cellStyle name="Normal 4 3 2 2 5 2 2 2 3" xfId="5134" xr:uid="{88A4CB43-9E27-47AD-8C97-8744EA00EAD1}"/>
    <cellStyle name="Normal 4 3 2 2 5 2 2 3" xfId="5135" xr:uid="{728249C1-7245-46C2-9351-2C14C7D5B831}"/>
    <cellStyle name="Normal 4 3 2 2 5 2 2 4" xfId="5136" xr:uid="{F2C90B30-ADC2-49BD-A6FB-4C7754CD60CA}"/>
    <cellStyle name="Normal 4 3 2 2 5 2 2 5" xfId="5137" xr:uid="{3EADA839-F138-4941-8F9A-C12161B53786}"/>
    <cellStyle name="Normal 4 3 2 2 5 2 3" xfId="5138" xr:uid="{7903D6BD-487C-4F09-A903-FEB5F8526D0B}"/>
    <cellStyle name="Normal 4 3 2 2 5 2 3 2" xfId="5139" xr:uid="{3188475F-3CFD-4E5B-8613-9111E694295A}"/>
    <cellStyle name="Normal 4 3 2 2 5 2 3 2 2" xfId="5140" xr:uid="{86A51D11-997E-4BB1-BB54-0262CC58A3BF}"/>
    <cellStyle name="Normal 4 3 2 2 5 2 3 2 3" xfId="5141" xr:uid="{C694D253-79A5-42D5-AEAD-0CD65D226211}"/>
    <cellStyle name="Normal 4 3 2 2 5 2 3 3" xfId="5142" xr:uid="{F78B5542-60C3-4242-8B71-F5B9AF53FD6D}"/>
    <cellStyle name="Normal 4 3 2 2 5 2 3 4" xfId="5143" xr:uid="{6F71AB35-0162-40AF-A561-70F240FBC699}"/>
    <cellStyle name="Normal 4 3 2 2 5 2 3 5" xfId="5144" xr:uid="{0672403B-6680-4CAA-A48A-8179BD947B5D}"/>
    <cellStyle name="Normal 4 3 2 2 5 2 4" xfId="5145" xr:uid="{FE2B1DA3-83B0-4003-94DB-B7F2DAD125A4}"/>
    <cellStyle name="Normal 4 3 2 2 5 2 4 2" xfId="5146" xr:uid="{F3B633A6-E54B-4BDF-B606-A2A61F477EB0}"/>
    <cellStyle name="Normal 4 3 2 2 5 2 4 3" xfId="5147" xr:uid="{70E4170D-A00C-49A9-B155-29CFDB24E7E9}"/>
    <cellStyle name="Normal 4 3 2 2 5 2 5" xfId="5148" xr:uid="{5A195300-C788-4FA6-893B-02C620067036}"/>
    <cellStyle name="Normal 4 3 2 2 5 2 6" xfId="5149" xr:uid="{E5138FFE-5179-4371-BDE2-A689F8D418BC}"/>
    <cellStyle name="Normal 4 3 2 2 5 2 7" xfId="5150" xr:uid="{5177A4A7-39A3-48FD-AD50-90153806578C}"/>
    <cellStyle name="Normal 4 3 2 2 5 3" xfId="5151" xr:uid="{674D9C7B-F6D3-4382-A80C-DE3ABBD3A412}"/>
    <cellStyle name="Normal 4 3 2 2 5 3 2" xfId="5152" xr:uid="{2373A62E-F0E2-4CBD-B905-6B2811726DDB}"/>
    <cellStyle name="Normal 4 3 2 2 5 3 2 2" xfId="5153" xr:uid="{1C45197D-536C-41F5-8BD3-1E09C0B88F50}"/>
    <cellStyle name="Normal 4 3 2 2 5 3 2 3" xfId="5154" xr:uid="{8EF7CA9F-1984-4873-B6C4-FB756463F26F}"/>
    <cellStyle name="Normal 4 3 2 2 5 3 3" xfId="5155" xr:uid="{C77A24E5-45CF-4FD9-A4AC-7881CE01CD04}"/>
    <cellStyle name="Normal 4 3 2 2 5 3 4" xfId="5156" xr:uid="{F50C1A36-4E86-4637-BCF8-3CB0B321A25C}"/>
    <cellStyle name="Normal 4 3 2 2 5 3 5" xfId="5157" xr:uid="{834802A0-AE45-4C95-BE5A-8D70E05D5AFC}"/>
    <cellStyle name="Normal 4 3 2 2 5 4" xfId="5158" xr:uid="{DC7C50DD-8AF2-4476-A515-06C8C5E4AB58}"/>
    <cellStyle name="Normal 4 3 2 2 5 4 2" xfId="5159" xr:uid="{303956D3-1A08-497B-BB7B-AF10F5385373}"/>
    <cellStyle name="Normal 4 3 2 2 5 4 2 2" xfId="5160" xr:uid="{D2162440-C200-4C13-8CC3-B2B7830DD53A}"/>
    <cellStyle name="Normal 4 3 2 2 5 4 2 3" xfId="5161" xr:uid="{6162D886-FF88-43B9-86E5-DB1DB0EB91FA}"/>
    <cellStyle name="Normal 4 3 2 2 5 4 3" xfId="5162" xr:uid="{299BDD8F-C72B-4E9A-9C61-FD5A13208141}"/>
    <cellStyle name="Normal 4 3 2 2 5 4 4" xfId="5163" xr:uid="{1D2C8D10-AF19-4163-8C42-E45B76A42703}"/>
    <cellStyle name="Normal 4 3 2 2 5 4 5" xfId="5164" xr:uid="{F1AE835E-4990-410F-B188-1014B6EC4A82}"/>
    <cellStyle name="Normal 4 3 2 2 5 5" xfId="5165" xr:uid="{DC40A20C-280E-4111-A030-7A833F9C4E90}"/>
    <cellStyle name="Normal 4 3 2 2 5 5 2" xfId="5166" xr:uid="{FF32A84C-98C7-4FE4-9CD8-5176E0FEFED4}"/>
    <cellStyle name="Normal 4 3 2 2 5 5 3" xfId="5167" xr:uid="{53FD055F-F53B-4494-893D-1C5015CCC0E2}"/>
    <cellStyle name="Normal 4 3 2 2 5 6" xfId="5168" xr:uid="{BAC5CD75-4CF3-46C1-BE03-84BBBAE32CE6}"/>
    <cellStyle name="Normal 4 3 2 2 5 7" xfId="5169" xr:uid="{A49DACBD-97B2-4253-BC0A-A1F29842E1FD}"/>
    <cellStyle name="Normal 4 3 2 2 5 8" xfId="5170" xr:uid="{605BF955-E0CD-4A8A-9076-AB3856DB6668}"/>
    <cellStyle name="Normal 4 3 2 2 6" xfId="5171" xr:uid="{8D69F001-9EBC-434E-8969-451B686FB5A4}"/>
    <cellStyle name="Normal 4 3 2 2 6 2" xfId="5172" xr:uid="{4741449A-9B88-4F6C-9CCE-98CDC1DECD34}"/>
    <cellStyle name="Normal 4 3 2 2 6 2 2" xfId="5173" xr:uid="{C9D9BCB3-608D-4182-AACE-E179170E7F43}"/>
    <cellStyle name="Normal 4 3 2 2 6 2 2 2" xfId="5174" xr:uid="{3BE47058-7080-47DA-9D58-F191E428922C}"/>
    <cellStyle name="Normal 4 3 2 2 6 2 2 3" xfId="5175" xr:uid="{C57A6B8A-4CEC-47DE-AA0C-77599C10C6A0}"/>
    <cellStyle name="Normal 4 3 2 2 6 2 3" xfId="5176" xr:uid="{37C34880-1CB7-4F67-AC93-02FAE054B790}"/>
    <cellStyle name="Normal 4 3 2 2 6 2 4" xfId="5177" xr:uid="{9A195E9A-42C1-49FA-9E85-A5F45BA1D706}"/>
    <cellStyle name="Normal 4 3 2 2 6 2 5" xfId="5178" xr:uid="{D776FFA5-D6C6-48BE-805D-BC1433958644}"/>
    <cellStyle name="Normal 4 3 2 2 6 3" xfId="5179" xr:uid="{0AC8D1A8-0205-40E3-9855-E5120EB14552}"/>
    <cellStyle name="Normal 4 3 2 2 6 3 2" xfId="5180" xr:uid="{C01068F3-C92A-4761-9780-3424819E0A01}"/>
    <cellStyle name="Normal 4 3 2 2 6 3 2 2" xfId="5181" xr:uid="{2338463A-AAAB-4E2B-AF79-9D3311C29779}"/>
    <cellStyle name="Normal 4 3 2 2 6 3 2 3" xfId="5182" xr:uid="{3D26F5D7-02BF-4317-BEAB-4D2ED4E9A7F2}"/>
    <cellStyle name="Normal 4 3 2 2 6 3 3" xfId="5183" xr:uid="{681507BC-9F9E-43C6-B716-0772D3F84EE4}"/>
    <cellStyle name="Normal 4 3 2 2 6 3 4" xfId="5184" xr:uid="{79BDCB43-D6B9-4345-9294-84575400D6BD}"/>
    <cellStyle name="Normal 4 3 2 2 6 3 5" xfId="5185" xr:uid="{50B85188-6234-400E-B51C-814FA0036AF3}"/>
    <cellStyle name="Normal 4 3 2 2 6 4" xfId="5186" xr:uid="{15BBC505-3397-4781-AFFE-61DAF5DBEFD8}"/>
    <cellStyle name="Normal 4 3 2 2 6 4 2" xfId="5187" xr:uid="{17335464-11E0-4932-868D-5034B757D987}"/>
    <cellStyle name="Normal 4 3 2 2 6 4 3" xfId="5188" xr:uid="{B0462A9A-8F47-412F-9090-611C703E8B6C}"/>
    <cellStyle name="Normal 4 3 2 2 6 5" xfId="5189" xr:uid="{6C79FAB9-8B80-4DED-B77E-AD4B51F402D3}"/>
    <cellStyle name="Normal 4 3 2 2 6 6" xfId="5190" xr:uid="{6BB072D0-1756-4A52-8EA0-E2CE4FB3CB48}"/>
    <cellStyle name="Normal 4 3 2 2 6 7" xfId="5191" xr:uid="{3C5093D2-7E0E-462C-9895-BD67AB9400A4}"/>
    <cellStyle name="Normal 4 3 2 2 7" xfId="5192" xr:uid="{9FD84690-67B6-4BE2-9EE0-0CE59B14F777}"/>
    <cellStyle name="Normal 4 3 2 2 7 2" xfId="5193" xr:uid="{3FE8AB62-CC28-4014-B4C8-C44B3FB8BE08}"/>
    <cellStyle name="Normal 4 3 2 2 7 2 2" xfId="5194" xr:uid="{AFA80D54-1A41-448A-B8AA-ED7C2E19CBF0}"/>
    <cellStyle name="Normal 4 3 2 2 7 2 2 2" xfId="5195" xr:uid="{662469BF-4CD3-4FE9-8C36-25513A43683B}"/>
    <cellStyle name="Normal 4 3 2 2 7 2 2 3" xfId="5196" xr:uid="{BAD3B824-D37C-4613-9B3C-B711C5C59712}"/>
    <cellStyle name="Normal 4 3 2 2 7 2 3" xfId="5197" xr:uid="{2F3EEA0C-C60C-4946-8B17-23715261AFAB}"/>
    <cellStyle name="Normal 4 3 2 2 7 2 4" xfId="5198" xr:uid="{EF21472A-C6E6-4DEC-BDD6-711692BA8D8A}"/>
    <cellStyle name="Normal 4 3 2 2 7 2 5" xfId="5199" xr:uid="{39A3AEF9-DB79-45E9-B446-4F63647019FE}"/>
    <cellStyle name="Normal 4 3 2 2 7 3" xfId="5200" xr:uid="{60DAAC67-2491-47DA-8433-73A2740AEE94}"/>
    <cellStyle name="Normal 4 3 2 2 7 3 2" xfId="5201" xr:uid="{2F9EB6C9-CF8C-4D90-8C14-43FF914A887F}"/>
    <cellStyle name="Normal 4 3 2 2 7 3 2 2" xfId="5202" xr:uid="{F494865B-CB9C-480C-A93F-3584C7FAFEB5}"/>
    <cellStyle name="Normal 4 3 2 2 7 3 2 3" xfId="5203" xr:uid="{04A4B3BE-C92E-48D4-82D7-489D50E35AF0}"/>
    <cellStyle name="Normal 4 3 2 2 7 3 3" xfId="5204" xr:uid="{3BAA2E73-0A5C-4FE1-BD69-5527C3CA7BE7}"/>
    <cellStyle name="Normal 4 3 2 2 7 3 4" xfId="5205" xr:uid="{288C9C0B-3F48-452D-966C-200EBD88D61A}"/>
    <cellStyle name="Normal 4 3 2 2 7 3 5" xfId="5206" xr:uid="{C6348028-0DF8-4B2C-857E-68A63F2C0E84}"/>
    <cellStyle name="Normal 4 3 2 2 7 4" xfId="5207" xr:uid="{96411CC1-8F2D-472E-B924-A8C69BD8BA54}"/>
    <cellStyle name="Normal 4 3 2 2 7 4 2" xfId="5208" xr:uid="{17F3E439-5550-4BFC-B319-D2DAE7E87AE5}"/>
    <cellStyle name="Normal 4 3 2 2 7 4 3" xfId="5209" xr:uid="{10F8C1FF-094B-4ABD-80B8-148418A9F6D3}"/>
    <cellStyle name="Normal 4 3 2 2 7 5" xfId="5210" xr:uid="{7155AFEC-48A6-4F82-810E-8A38C06BC84B}"/>
    <cellStyle name="Normal 4 3 2 2 7 6" xfId="5211" xr:uid="{38FA9B4B-9006-4834-A3F1-DEB7D54B983F}"/>
    <cellStyle name="Normal 4 3 2 2 7 7" xfId="5212" xr:uid="{DEAEE107-71D3-4AC9-8200-72847BAEC6DB}"/>
    <cellStyle name="Normal 4 3 2 2 8" xfId="5213" xr:uid="{2F41A79E-4CE8-4D0F-AB05-AC4E69881257}"/>
    <cellStyle name="Normal 4 3 2 2 8 2" xfId="5214" xr:uid="{06EBC22D-1190-4F5B-9C3B-82436784DDA6}"/>
    <cellStyle name="Normal 4 3 2 2 8 2 2" xfId="5215" xr:uid="{E6F66571-4335-4A30-85D9-E74E8BE13A33}"/>
    <cellStyle name="Normal 4 3 2 2 8 2 3" xfId="5216" xr:uid="{354B1F0D-9690-4993-807A-52141C62CD3C}"/>
    <cellStyle name="Normal 4 3 2 2 8 3" xfId="5217" xr:uid="{E2AC66C8-37B9-4A0A-941D-A3588690487B}"/>
    <cellStyle name="Normal 4 3 2 2 8 4" xfId="5218" xr:uid="{370E4BB9-4941-4EF1-AE3B-33FA1813BFDE}"/>
    <cellStyle name="Normal 4 3 2 2 8 5" xfId="5219" xr:uid="{CBC8EBEE-A671-4BCC-BE48-527FAABBDAF3}"/>
    <cellStyle name="Normal 4 3 2 2 9" xfId="5220" xr:uid="{5835055C-733D-4191-A210-82EF630DDC7E}"/>
    <cellStyle name="Normal 4 3 2 2 9 2" xfId="5221" xr:uid="{A40FD7B3-08F3-444F-867C-63C4490E8B86}"/>
    <cellStyle name="Normal 4 3 2 2 9 2 2" xfId="5222" xr:uid="{F9AA9AE0-5D9F-4D82-9E4B-7658B5DED94E}"/>
    <cellStyle name="Normal 4 3 2 2 9 2 3" xfId="5223" xr:uid="{98C1511C-7B2C-460B-9FE3-B156C917781E}"/>
    <cellStyle name="Normal 4 3 2 2 9 3" xfId="5224" xr:uid="{5CF61127-D4B0-4AB4-BE59-12E66AE0066A}"/>
    <cellStyle name="Normal 4 3 2 2 9 4" xfId="5225" xr:uid="{9C3D6DD8-988D-46D4-9469-05060295D6AB}"/>
    <cellStyle name="Normal 4 3 2 2 9 5" xfId="5226" xr:uid="{7B2F5CEE-C76A-4967-83A5-4C191335CF94}"/>
    <cellStyle name="Normal 4 3 2 3" xfId="5227" xr:uid="{5A34DCF0-8FC0-4327-9651-91A24828AD69}"/>
    <cellStyle name="Normal 4 3 2 3 2" xfId="5228" xr:uid="{8D91038E-B43F-4F6C-98C6-C4792A596F81}"/>
    <cellStyle name="Normal 4 3 2 3 2 2" xfId="5229" xr:uid="{39208ACA-EE29-4302-8500-5E59C4986C93}"/>
    <cellStyle name="Normal 4 3 2 3 2 2 2" xfId="5230" xr:uid="{8FE0552C-4443-463F-A025-468260A79329}"/>
    <cellStyle name="Normal 4 3 2 3 2 2 2 2" xfId="5231" xr:uid="{42EAB7D8-7BEF-4F3E-B371-D911751DE6C1}"/>
    <cellStyle name="Normal 4 3 2 3 2 2 2 2 2" xfId="5232" xr:uid="{23105C44-442A-4105-B49B-681FA09A2F73}"/>
    <cellStyle name="Normal 4 3 2 3 2 2 2 2 3" xfId="5233" xr:uid="{BC169184-7404-403E-A7E6-3754FF318F65}"/>
    <cellStyle name="Normal 4 3 2 3 2 2 2 3" xfId="5234" xr:uid="{85A762D9-4BE5-43D1-8C64-0776EDCC318A}"/>
    <cellStyle name="Normal 4 3 2 3 2 2 2 4" xfId="5235" xr:uid="{258B6C89-BE43-4E1D-8349-8AE47E3F18B0}"/>
    <cellStyle name="Normal 4 3 2 3 2 2 2 5" xfId="5236" xr:uid="{BCDE381C-5C1D-4D4D-850E-9FC0C4E2CE66}"/>
    <cellStyle name="Normal 4 3 2 3 2 2 3" xfId="5237" xr:uid="{1F80E815-E24E-4E25-847C-5E9AA44B172B}"/>
    <cellStyle name="Normal 4 3 2 3 2 2 3 2" xfId="5238" xr:uid="{18A5F3A1-EE67-45EA-8EBD-6F91B3901D90}"/>
    <cellStyle name="Normal 4 3 2 3 2 2 3 2 2" xfId="5239" xr:uid="{A88014B9-BE05-460C-9AC2-F45EB09F833D}"/>
    <cellStyle name="Normal 4 3 2 3 2 2 3 2 3" xfId="5240" xr:uid="{B0E19644-280E-4AAF-A285-475369DAC58F}"/>
    <cellStyle name="Normal 4 3 2 3 2 2 3 3" xfId="5241" xr:uid="{90F2F6A8-47F3-400D-8EF1-211E2E7C4480}"/>
    <cellStyle name="Normal 4 3 2 3 2 2 3 4" xfId="5242" xr:uid="{45947FEC-BDB4-4D70-B74B-6C708263E797}"/>
    <cellStyle name="Normal 4 3 2 3 2 2 3 5" xfId="5243" xr:uid="{829EF21D-2AFE-41BE-9D88-407941CCDF5F}"/>
    <cellStyle name="Normal 4 3 2 3 2 2 4" xfId="5244" xr:uid="{EC9E1B78-3C44-43EC-A5FE-D8456839D568}"/>
    <cellStyle name="Normal 4 3 2 3 2 2 4 2" xfId="5245" xr:uid="{E9F3D310-BE88-4562-B6F1-C4761E41C05A}"/>
    <cellStyle name="Normal 4 3 2 3 2 2 4 3" xfId="5246" xr:uid="{18CF4494-48B9-42A5-A47F-CA4A7E1B567C}"/>
    <cellStyle name="Normal 4 3 2 3 2 2 5" xfId="5247" xr:uid="{86D700F4-81DF-4DA3-877C-4606CAE9C6B4}"/>
    <cellStyle name="Normal 4 3 2 3 2 2 6" xfId="5248" xr:uid="{231E6D44-632B-4002-8ACE-585857F96083}"/>
    <cellStyle name="Normal 4 3 2 3 2 2 7" xfId="5249" xr:uid="{C9258080-2252-41A2-96E2-5852C04FA7A9}"/>
    <cellStyle name="Normal 4 3 2 3 2 3" xfId="5250" xr:uid="{F3B16261-F377-4FFE-ABAC-7F62F968C042}"/>
    <cellStyle name="Normal 4 3 2 3 2 3 2" xfId="5251" xr:uid="{9D4D029B-9D8C-46A5-AD0C-603FF18B7FDE}"/>
    <cellStyle name="Normal 4 3 2 3 2 3 2 2" xfId="5252" xr:uid="{6AFB6935-46A9-41EA-8D5D-C40A6DF41900}"/>
    <cellStyle name="Normal 4 3 2 3 2 3 2 3" xfId="5253" xr:uid="{17E2ADB3-C9D1-4A88-9FBC-7EEC3BADD355}"/>
    <cellStyle name="Normal 4 3 2 3 2 3 3" xfId="5254" xr:uid="{7906E581-EC34-476A-85F7-66DAA0F0797D}"/>
    <cellStyle name="Normal 4 3 2 3 2 3 4" xfId="5255" xr:uid="{303C3E3D-8E43-47E7-9A7C-4882627B3B84}"/>
    <cellStyle name="Normal 4 3 2 3 2 3 5" xfId="5256" xr:uid="{9324CC99-C9A5-4A85-BA18-88F34AFDAF7E}"/>
    <cellStyle name="Normal 4 3 2 3 2 4" xfId="5257" xr:uid="{935F912F-20AD-405B-B7C4-B76E66E33871}"/>
    <cellStyle name="Normal 4 3 2 3 2 4 2" xfId="5258" xr:uid="{0D3ACD07-709A-4DF3-9CC1-55F4A942C6C3}"/>
    <cellStyle name="Normal 4 3 2 3 2 4 2 2" xfId="5259" xr:uid="{961142E0-6BFB-4317-A3B0-FF7A06D16754}"/>
    <cellStyle name="Normal 4 3 2 3 2 4 2 3" xfId="5260" xr:uid="{E6E4EC11-0CC5-4A60-A869-A0F28D7C7366}"/>
    <cellStyle name="Normal 4 3 2 3 2 4 3" xfId="5261" xr:uid="{B56B9819-82DF-493B-86EB-403C8D78F413}"/>
    <cellStyle name="Normal 4 3 2 3 2 4 4" xfId="5262" xr:uid="{EE885658-0C04-4357-A61C-34423DBFDEB9}"/>
    <cellStyle name="Normal 4 3 2 3 2 4 5" xfId="5263" xr:uid="{A95C32A6-3EF2-433D-9F90-77AB4F167C00}"/>
    <cellStyle name="Normal 4 3 2 3 2 5" xfId="5264" xr:uid="{DE965C47-0CC9-4EE8-96AF-226B2ACA5826}"/>
    <cellStyle name="Normal 4 3 2 3 2 5 2" xfId="5265" xr:uid="{15D1A978-2D6D-4B0F-9272-67A06DE633C9}"/>
    <cellStyle name="Normal 4 3 2 3 2 5 3" xfId="5266" xr:uid="{4E180B3C-4608-4348-A1C9-943395110AA0}"/>
    <cellStyle name="Normal 4 3 2 3 2 6" xfId="5267" xr:uid="{000D00BF-EC06-45D6-8389-5F6C058B6034}"/>
    <cellStyle name="Normal 4 3 2 3 2 7" xfId="5268" xr:uid="{D01020C2-8D8D-44F1-876D-D733AA1A50AD}"/>
    <cellStyle name="Normal 4 3 2 3 2 8" xfId="5269" xr:uid="{F7119D37-9324-46C7-B47B-6E9DFAC9DE30}"/>
    <cellStyle name="Normal 4 3 2 3 3" xfId="5270" xr:uid="{1C659D51-CD12-4A2D-9152-919AEED281C5}"/>
    <cellStyle name="Normal 4 3 2 3 3 2" xfId="5271" xr:uid="{F94C8599-37B1-4695-8FAC-E62B6C0F739F}"/>
    <cellStyle name="Normal 4 3 2 3 3 2 2" xfId="5272" xr:uid="{9F2C85E5-465D-4503-AF14-3267F808474A}"/>
    <cellStyle name="Normal 4 3 2 3 3 2 2 2" xfId="5273" xr:uid="{CA5EF46D-D94C-4547-AFB9-7EFA128DE43E}"/>
    <cellStyle name="Normal 4 3 2 3 3 2 2 3" xfId="5274" xr:uid="{0776AF51-7535-46EA-93EA-869F5ACE9CD7}"/>
    <cellStyle name="Normal 4 3 2 3 3 2 3" xfId="5275" xr:uid="{CD134D37-B69D-4B00-A0D4-EE417E231EB0}"/>
    <cellStyle name="Normal 4 3 2 3 3 2 4" xfId="5276" xr:uid="{DC905546-94EF-424D-96F9-4EFF7A597851}"/>
    <cellStyle name="Normal 4 3 2 3 3 2 5" xfId="5277" xr:uid="{3E15EE2A-13C4-4A02-B20F-DDEAA2161547}"/>
    <cellStyle name="Normal 4 3 2 3 3 3" xfId="5278" xr:uid="{798D4D14-9FC1-4DC5-A4DB-A56ABCE9342E}"/>
    <cellStyle name="Normal 4 3 2 3 3 3 2" xfId="5279" xr:uid="{68DD5473-3DE0-4D3F-A3B2-A4E4C497DBCD}"/>
    <cellStyle name="Normal 4 3 2 3 3 3 2 2" xfId="5280" xr:uid="{2C9DE9FA-7873-43C3-92E5-9E6F18D9849E}"/>
    <cellStyle name="Normal 4 3 2 3 3 3 2 3" xfId="5281" xr:uid="{BAA6542D-26D0-451D-B88E-E432C4404AC6}"/>
    <cellStyle name="Normal 4 3 2 3 3 3 3" xfId="5282" xr:uid="{070010B1-72C4-4397-9A08-97E5B15938B3}"/>
    <cellStyle name="Normal 4 3 2 3 3 3 4" xfId="5283" xr:uid="{283E3E89-74B2-4A3A-8549-CA731A96F556}"/>
    <cellStyle name="Normal 4 3 2 3 3 3 5" xfId="5284" xr:uid="{464BC893-0589-459D-B54D-2EB15CA9F9EF}"/>
    <cellStyle name="Normal 4 3 2 3 3 4" xfId="5285" xr:uid="{4F2C59FF-D161-46B5-8626-D37706C23B6E}"/>
    <cellStyle name="Normal 4 3 2 3 3 4 2" xfId="5286" xr:uid="{4DF56EFB-0A01-436A-B8F6-8CCACF3D959E}"/>
    <cellStyle name="Normal 4 3 2 3 3 4 3" xfId="5287" xr:uid="{9D1F7BC0-1025-445D-9401-B28BBFC69E60}"/>
    <cellStyle name="Normal 4 3 2 3 3 5" xfId="5288" xr:uid="{988B725C-6020-4F9E-A43D-AB7B7CDCAC86}"/>
    <cellStyle name="Normal 4 3 2 3 3 6" xfId="5289" xr:uid="{FE128E98-9242-47B7-891F-DEFAAB5F5782}"/>
    <cellStyle name="Normal 4 3 2 3 3 7" xfId="5290" xr:uid="{B931BB80-FF11-44E6-8B69-A10132D5C39E}"/>
    <cellStyle name="Normal 4 3 2 3 4" xfId="5291" xr:uid="{868A61C6-9268-43F9-83FE-484851C0CF55}"/>
    <cellStyle name="Normal 4 3 2 3 4 2" xfId="5292" xr:uid="{5879F1E0-C17B-48E8-B7B3-B237C0491460}"/>
    <cellStyle name="Normal 4 3 2 3 4 2 2" xfId="5293" xr:uid="{03F4AC27-0E0F-47D8-AFCD-710216E1F670}"/>
    <cellStyle name="Normal 4 3 2 3 4 2 3" xfId="5294" xr:uid="{47B4D6A7-2193-4B57-A20F-9261F5E2DD5D}"/>
    <cellStyle name="Normal 4 3 2 3 4 3" xfId="5295" xr:uid="{90E0CB29-E692-4EEC-95C2-D159F61AABAC}"/>
    <cellStyle name="Normal 4 3 2 3 4 4" xfId="5296" xr:uid="{4779EB13-3F59-4F25-81AB-7B79F82097E5}"/>
    <cellStyle name="Normal 4 3 2 3 4 5" xfId="5297" xr:uid="{974080CD-9208-4874-B4B6-CC8D4F033A17}"/>
    <cellStyle name="Normal 4 3 2 3 5" xfId="5298" xr:uid="{251A438F-02CB-4C1A-8DE1-A0D1FD8CA85E}"/>
    <cellStyle name="Normal 4 3 2 3 5 2" xfId="5299" xr:uid="{8EB6D86D-87B8-4140-9971-06C9F0C65740}"/>
    <cellStyle name="Normal 4 3 2 3 5 2 2" xfId="5300" xr:uid="{E090C1C8-39C7-46D1-9187-B3E02431508E}"/>
    <cellStyle name="Normal 4 3 2 3 5 2 3" xfId="5301" xr:uid="{0D33F7DE-2CE3-489A-B275-8AAD4BBE9087}"/>
    <cellStyle name="Normal 4 3 2 3 5 3" xfId="5302" xr:uid="{EFE539CF-6358-4CA5-9989-90A63AB12E5E}"/>
    <cellStyle name="Normal 4 3 2 3 5 4" xfId="5303" xr:uid="{462B0F96-927E-4C84-9C75-F9236E850A9E}"/>
    <cellStyle name="Normal 4 3 2 3 5 5" xfId="5304" xr:uid="{8FBF44FE-47AA-4A99-9752-49E9339B9B02}"/>
    <cellStyle name="Normal 4 3 2 3 6" xfId="5305" xr:uid="{E8513FF2-1B44-4EC3-AC4E-F73FE706B1EB}"/>
    <cellStyle name="Normal 4 3 2 3 6 2" xfId="5306" xr:uid="{D45B8566-65E0-495C-BC42-2C1C44C5A9C0}"/>
    <cellStyle name="Normal 4 3 2 3 6 3" xfId="5307" xr:uid="{35005E42-E9AC-4113-9437-C8DE160628F0}"/>
    <cellStyle name="Normal 4 3 2 3 7" xfId="5308" xr:uid="{4D976F05-FA63-4848-B230-955BA23FF751}"/>
    <cellStyle name="Normal 4 3 2 3 8" xfId="5309" xr:uid="{02D7EA46-B998-4003-BFEF-F22CA3C69B99}"/>
    <cellStyle name="Normal 4 3 2 3 9" xfId="5310" xr:uid="{CD3781B2-E340-43AF-BBE8-1D6A03381D8B}"/>
    <cellStyle name="Normal 4 3 2 4" xfId="5311" xr:uid="{49948121-01FA-4278-BA0C-11B31F0E70D2}"/>
    <cellStyle name="Normal 4 3 2 4 2" xfId="5312" xr:uid="{45164A78-4B8C-4E1E-B0D0-86E61AC20F15}"/>
    <cellStyle name="Normal 4 3 2 4 2 2" xfId="5313" xr:uid="{8E7DB59C-EC77-4E78-9F42-14CDAD95161F}"/>
    <cellStyle name="Normal 4 3 2 4 2 2 2" xfId="5314" xr:uid="{A022AB90-CD54-4ECF-AD07-9040F48C1931}"/>
    <cellStyle name="Normal 4 3 2 4 2 2 2 2" xfId="5315" xr:uid="{D38D7FBA-A920-49BA-8FB5-C374ECA9400F}"/>
    <cellStyle name="Normal 4 3 2 4 2 2 2 2 2" xfId="5316" xr:uid="{9EC83B08-953A-4E2F-8D66-593716412D0B}"/>
    <cellStyle name="Normal 4 3 2 4 2 2 2 2 3" xfId="5317" xr:uid="{C2C15453-22DB-446F-835E-8609ACAC2F69}"/>
    <cellStyle name="Normal 4 3 2 4 2 2 2 3" xfId="5318" xr:uid="{2344C9BC-B267-4DF9-9AEC-156C49E61055}"/>
    <cellStyle name="Normal 4 3 2 4 2 2 2 4" xfId="5319" xr:uid="{7AABB612-0C18-4FA2-A99F-0D0BDE69C6F4}"/>
    <cellStyle name="Normal 4 3 2 4 2 2 2 5" xfId="5320" xr:uid="{EE710F58-FEBC-4D9F-BA80-05DC316158D9}"/>
    <cellStyle name="Normal 4 3 2 4 2 2 3" xfId="5321" xr:uid="{18D19612-9CA3-4ED5-9956-C43FF01D3F64}"/>
    <cellStyle name="Normal 4 3 2 4 2 2 3 2" xfId="5322" xr:uid="{32CDF155-735C-4B17-B079-7852F8FCA64F}"/>
    <cellStyle name="Normal 4 3 2 4 2 2 3 2 2" xfId="5323" xr:uid="{F41773F7-0317-4118-B246-A700599DC90B}"/>
    <cellStyle name="Normal 4 3 2 4 2 2 3 2 3" xfId="5324" xr:uid="{850A76DD-F07A-4177-985B-52B351BC6285}"/>
    <cellStyle name="Normal 4 3 2 4 2 2 3 3" xfId="5325" xr:uid="{5A76D9D5-7B1C-45D4-925E-380C87F8A040}"/>
    <cellStyle name="Normal 4 3 2 4 2 2 3 4" xfId="5326" xr:uid="{11AE32D3-8B45-4A47-92CA-E94F9DB44890}"/>
    <cellStyle name="Normal 4 3 2 4 2 2 3 5" xfId="5327" xr:uid="{B2B91829-8EB2-4835-8F8B-021D6E711BBC}"/>
    <cellStyle name="Normal 4 3 2 4 2 2 4" xfId="5328" xr:uid="{7851ECFE-85EB-4C6E-93DE-575D1531693F}"/>
    <cellStyle name="Normal 4 3 2 4 2 2 4 2" xfId="5329" xr:uid="{C4398EBC-02F6-4806-A87D-FCBB2877A48F}"/>
    <cellStyle name="Normal 4 3 2 4 2 2 4 3" xfId="5330" xr:uid="{6D01F89B-5332-41CA-BAD5-FC1DF9D454E1}"/>
    <cellStyle name="Normal 4 3 2 4 2 2 5" xfId="5331" xr:uid="{8034B0F0-6733-48C6-85F4-B953D4BB801C}"/>
    <cellStyle name="Normal 4 3 2 4 2 2 6" xfId="5332" xr:uid="{7A8C6D9F-3D82-4492-B3C4-E49800B70166}"/>
    <cellStyle name="Normal 4 3 2 4 2 2 7" xfId="5333" xr:uid="{9F51C76B-06B3-4875-9D5D-568CC10D2679}"/>
    <cellStyle name="Normal 4 3 2 4 2 3" xfId="5334" xr:uid="{339C756C-CBE9-4C91-95F7-ADC3EC8A19C8}"/>
    <cellStyle name="Normal 4 3 2 4 2 3 2" xfId="5335" xr:uid="{C94D58FF-D99F-4415-BD00-04BC4839EB90}"/>
    <cellStyle name="Normal 4 3 2 4 2 3 2 2" xfId="5336" xr:uid="{922A3FB6-838C-4470-83D7-C649DD09BB6C}"/>
    <cellStyle name="Normal 4 3 2 4 2 3 2 3" xfId="5337" xr:uid="{86E460A8-AF22-4786-BDA5-2DAD4DCD2CE4}"/>
    <cellStyle name="Normal 4 3 2 4 2 3 3" xfId="5338" xr:uid="{D13E4881-5505-4CCC-8198-DED79C54CE86}"/>
    <cellStyle name="Normal 4 3 2 4 2 3 4" xfId="5339" xr:uid="{1683FB6D-59D8-4C3A-9DB3-93D8BAAABA44}"/>
    <cellStyle name="Normal 4 3 2 4 2 3 5" xfId="5340" xr:uid="{33CD5DDD-FF9C-40F3-A135-F413F3E04446}"/>
    <cellStyle name="Normal 4 3 2 4 2 4" xfId="5341" xr:uid="{C407A428-8446-4B21-B379-FE0FBB6D0B5B}"/>
    <cellStyle name="Normal 4 3 2 4 2 4 2" xfId="5342" xr:uid="{D8FC66BC-EB9F-4DC1-A958-0C1CEBD7357B}"/>
    <cellStyle name="Normal 4 3 2 4 2 4 2 2" xfId="5343" xr:uid="{6A74C3EC-5B1E-480E-88E3-12F2385CD5BB}"/>
    <cellStyle name="Normal 4 3 2 4 2 4 2 3" xfId="5344" xr:uid="{C75C456F-F98F-414D-B1F4-232F142A88C4}"/>
    <cellStyle name="Normal 4 3 2 4 2 4 3" xfId="5345" xr:uid="{C7449472-CFAE-4B0E-85E2-D9D79C1B5E88}"/>
    <cellStyle name="Normal 4 3 2 4 2 4 4" xfId="5346" xr:uid="{ADF2CC0F-5331-415B-A4A9-DBC7FCEE180F}"/>
    <cellStyle name="Normal 4 3 2 4 2 4 5" xfId="5347" xr:uid="{51D3C18C-E107-4318-A77D-7C31D9D785D9}"/>
    <cellStyle name="Normal 4 3 2 4 2 5" xfId="5348" xr:uid="{AC93BA04-045B-45E4-8F20-52C737B10DFA}"/>
    <cellStyle name="Normal 4 3 2 4 2 5 2" xfId="5349" xr:uid="{46E63419-386E-472B-83BA-70E928360D15}"/>
    <cellStyle name="Normal 4 3 2 4 2 5 3" xfId="5350" xr:uid="{B2BE7C9C-F7DB-494C-A2C5-99F7ED4277AE}"/>
    <cellStyle name="Normal 4 3 2 4 2 6" xfId="5351" xr:uid="{94E69A78-5C1E-444A-B953-D4D392A08965}"/>
    <cellStyle name="Normal 4 3 2 4 2 7" xfId="5352" xr:uid="{F8E57C6C-AC95-4614-8ECC-143D90E1FD8B}"/>
    <cellStyle name="Normal 4 3 2 4 2 8" xfId="5353" xr:uid="{F7866872-64DC-4E2F-8CC5-C1F6F428EEBE}"/>
    <cellStyle name="Normal 4 3 2 4 3" xfId="5354" xr:uid="{3DE36122-5ED4-4B39-9491-A0F4498E8594}"/>
    <cellStyle name="Normal 4 3 2 4 3 2" xfId="5355" xr:uid="{B081B4BA-DC76-4D13-9E3B-5B255739B9A1}"/>
    <cellStyle name="Normal 4 3 2 4 3 2 2" xfId="5356" xr:uid="{23FF5CDF-5B21-481D-85BA-48ED3DD1C661}"/>
    <cellStyle name="Normal 4 3 2 4 3 2 2 2" xfId="5357" xr:uid="{8B58D62C-5EF6-46D9-8828-08CF4401C261}"/>
    <cellStyle name="Normal 4 3 2 4 3 2 2 3" xfId="5358" xr:uid="{E48E2164-0D74-49A5-8AD7-1CA36AB777C7}"/>
    <cellStyle name="Normal 4 3 2 4 3 2 3" xfId="5359" xr:uid="{7C07C968-8508-4A45-B2C1-0D7092B43F4B}"/>
    <cellStyle name="Normal 4 3 2 4 3 2 4" xfId="5360" xr:uid="{D1CF6851-C60C-4299-BF66-954D07F306AB}"/>
    <cellStyle name="Normal 4 3 2 4 3 2 5" xfId="5361" xr:uid="{AEEF4DDF-44F2-4FA9-ACF8-3D7F3B6A8B0C}"/>
    <cellStyle name="Normal 4 3 2 4 3 3" xfId="5362" xr:uid="{C94CA312-F417-40DA-8F15-6D43B06F7595}"/>
    <cellStyle name="Normal 4 3 2 4 3 3 2" xfId="5363" xr:uid="{EC5F97B1-40CD-4835-A9CF-86E760C5600E}"/>
    <cellStyle name="Normal 4 3 2 4 3 3 2 2" xfId="5364" xr:uid="{0B6D2E86-D43C-4F09-ADD4-46BD0E5968BF}"/>
    <cellStyle name="Normal 4 3 2 4 3 3 2 3" xfId="5365" xr:uid="{3763C953-10C9-4F39-B7FD-B8155EB727B5}"/>
    <cellStyle name="Normal 4 3 2 4 3 3 3" xfId="5366" xr:uid="{E04EA366-2F2A-411E-9FC9-4F071C9ED3E9}"/>
    <cellStyle name="Normal 4 3 2 4 3 3 4" xfId="5367" xr:uid="{E9CBCDF6-5475-464F-97C1-95BCC6133135}"/>
    <cellStyle name="Normal 4 3 2 4 3 3 5" xfId="5368" xr:uid="{4F69C04F-D4E7-4760-89ED-7DB03AF2FAB0}"/>
    <cellStyle name="Normal 4 3 2 4 3 4" xfId="5369" xr:uid="{AEF35BAF-C228-4571-ABB3-AACB6174EDEE}"/>
    <cellStyle name="Normal 4 3 2 4 3 4 2" xfId="5370" xr:uid="{D3D642C2-7039-450E-A07F-C6E813FA4E9C}"/>
    <cellStyle name="Normal 4 3 2 4 3 4 3" xfId="5371" xr:uid="{AE79491E-5715-47CA-9439-CF5FA0A6A096}"/>
    <cellStyle name="Normal 4 3 2 4 3 5" xfId="5372" xr:uid="{F99D0F58-1DC5-4068-81A5-D80F5169BA98}"/>
    <cellStyle name="Normal 4 3 2 4 3 6" xfId="5373" xr:uid="{A03C4DB3-A587-4C7C-BCB8-C2132789EE66}"/>
    <cellStyle name="Normal 4 3 2 4 3 7" xfId="5374" xr:uid="{08976410-BDC4-4BE9-8610-5F479997A8AD}"/>
    <cellStyle name="Normal 4 3 2 4 4" xfId="5375" xr:uid="{14442633-DF95-4FA2-84E3-DB3760C41A12}"/>
    <cellStyle name="Normal 4 3 2 4 4 2" xfId="5376" xr:uid="{1ED43F3C-03DA-43B7-8C8B-072544CEC0EA}"/>
    <cellStyle name="Normal 4 3 2 4 4 2 2" xfId="5377" xr:uid="{0E05DAD8-6A80-4524-882F-67ACFB0BA792}"/>
    <cellStyle name="Normal 4 3 2 4 4 2 3" xfId="5378" xr:uid="{F34E0C46-D1E6-4686-BBE7-E51DE54E70EA}"/>
    <cellStyle name="Normal 4 3 2 4 4 3" xfId="5379" xr:uid="{17DD43BE-60E3-432C-A487-F2A6879C7A86}"/>
    <cellStyle name="Normal 4 3 2 4 4 4" xfId="5380" xr:uid="{63FA3DFB-0EEB-42C2-9C45-929F42BDA90E}"/>
    <cellStyle name="Normal 4 3 2 4 4 5" xfId="5381" xr:uid="{41FB42A7-AC81-4585-AFFC-5706D7E1FCBE}"/>
    <cellStyle name="Normal 4 3 2 4 5" xfId="5382" xr:uid="{B6787857-1F79-4CA4-AA1E-1A316B1946F3}"/>
    <cellStyle name="Normal 4 3 2 4 5 2" xfId="5383" xr:uid="{4D1ED33F-4DEC-430A-A256-632EA0712D63}"/>
    <cellStyle name="Normal 4 3 2 4 5 2 2" xfId="5384" xr:uid="{31A989D3-31FB-4C28-9BA7-F0314A1FB066}"/>
    <cellStyle name="Normal 4 3 2 4 5 2 3" xfId="5385" xr:uid="{4888B5AA-3468-466F-8420-F55B57DC5173}"/>
    <cellStyle name="Normal 4 3 2 4 5 3" xfId="5386" xr:uid="{EE51B0FB-E353-4DD4-AF7B-D2EAE706D2D1}"/>
    <cellStyle name="Normal 4 3 2 4 5 4" xfId="5387" xr:uid="{F2F4FF0C-283A-4F22-AC82-9679406CEAF3}"/>
    <cellStyle name="Normal 4 3 2 4 5 5" xfId="5388" xr:uid="{77765D9A-9EEE-4C85-9533-D24792AB48E9}"/>
    <cellStyle name="Normal 4 3 2 4 6" xfId="5389" xr:uid="{2F82B4F1-A8E4-429D-B7A0-036CB1F7F3CC}"/>
    <cellStyle name="Normal 4 3 2 4 6 2" xfId="5390" xr:uid="{6149AD9E-FECB-481C-BD1E-9169EF721A26}"/>
    <cellStyle name="Normal 4 3 2 4 6 3" xfId="5391" xr:uid="{D22D6E59-67A6-4E02-B069-33637246531E}"/>
    <cellStyle name="Normal 4 3 2 4 7" xfId="5392" xr:uid="{65AF6475-7342-4FF0-9C3A-B00F8060FE13}"/>
    <cellStyle name="Normal 4 3 2 4 8" xfId="5393" xr:uid="{1A6FC58C-EEAC-4B11-95CB-C8602C0DB255}"/>
    <cellStyle name="Normal 4 3 2 4 9" xfId="5394" xr:uid="{BE30676E-BB39-4CEA-B3FB-1A1C771C84A1}"/>
    <cellStyle name="Normal 4 3 2 5" xfId="5395" xr:uid="{76132385-7AD0-4D58-BF33-9EA2B2C0F9C9}"/>
    <cellStyle name="Normal 4 3 2 5 2" xfId="5396" xr:uid="{D0127492-9CA1-445A-9037-7A72CCC233CE}"/>
    <cellStyle name="Normal 4 3 2 5 2 2" xfId="5397" xr:uid="{10E623FB-C0BF-4A09-BB15-BA179DEDDDF4}"/>
    <cellStyle name="Normal 4 3 2 5 2 2 2" xfId="5398" xr:uid="{9F496C22-65CA-45F3-9E96-62ADAF509DD5}"/>
    <cellStyle name="Normal 4 3 2 5 2 2 2 2" xfId="5399" xr:uid="{6F0A98E7-871A-42E9-875D-6FE6D812518A}"/>
    <cellStyle name="Normal 4 3 2 5 2 2 2 2 2" xfId="5400" xr:uid="{41A1A6CD-D770-4768-8C55-97E9B8278041}"/>
    <cellStyle name="Normal 4 3 2 5 2 2 2 2 3" xfId="5401" xr:uid="{B9B87623-0068-4A03-8405-824815662BF2}"/>
    <cellStyle name="Normal 4 3 2 5 2 2 2 3" xfId="5402" xr:uid="{7FDACD0F-7E37-40B6-9020-0543BE46C4C1}"/>
    <cellStyle name="Normal 4 3 2 5 2 2 2 4" xfId="5403" xr:uid="{1BBD31A1-6312-4AC8-A499-3AF2B496BD9C}"/>
    <cellStyle name="Normal 4 3 2 5 2 2 2 5" xfId="5404" xr:uid="{13A60A0F-F852-4005-AE47-799EC7756AED}"/>
    <cellStyle name="Normal 4 3 2 5 2 2 3" xfId="5405" xr:uid="{1C79F2FE-45D8-44FF-925C-EE45622ED795}"/>
    <cellStyle name="Normal 4 3 2 5 2 2 3 2" xfId="5406" xr:uid="{D3A583B7-CAE4-43F0-BE3A-F7D022B5B6F9}"/>
    <cellStyle name="Normal 4 3 2 5 2 2 3 2 2" xfId="5407" xr:uid="{F1DC19C4-8E83-4D99-B627-B9D656FC3EA9}"/>
    <cellStyle name="Normal 4 3 2 5 2 2 3 2 3" xfId="5408" xr:uid="{EDCCBF02-24C0-45BC-85CC-DD97DDC19138}"/>
    <cellStyle name="Normal 4 3 2 5 2 2 3 3" xfId="5409" xr:uid="{15CCBCBD-E17A-4962-A94F-96CD65E76A8C}"/>
    <cellStyle name="Normal 4 3 2 5 2 2 3 4" xfId="5410" xr:uid="{1FD51DD2-FC0B-4FC6-8DD9-039B5A210FF8}"/>
    <cellStyle name="Normal 4 3 2 5 2 2 3 5" xfId="5411" xr:uid="{BEFB4431-20BB-4C80-ADBD-C812AF5E5E13}"/>
    <cellStyle name="Normal 4 3 2 5 2 2 4" xfId="5412" xr:uid="{10D2E4EA-1E4D-4866-8AC5-394B4234BF47}"/>
    <cellStyle name="Normal 4 3 2 5 2 2 4 2" xfId="5413" xr:uid="{38EEB8DA-E2C0-4BDE-93A4-4A03D08C143A}"/>
    <cellStyle name="Normal 4 3 2 5 2 2 4 3" xfId="5414" xr:uid="{66B83ACE-BBD0-4882-9D65-1C9BFCDE7F95}"/>
    <cellStyle name="Normal 4 3 2 5 2 2 5" xfId="5415" xr:uid="{1C4532C9-6A02-45DA-8DF9-56C3EB074327}"/>
    <cellStyle name="Normal 4 3 2 5 2 2 6" xfId="5416" xr:uid="{BB02299F-49D2-4BCC-8C51-1C1FC61551B8}"/>
    <cellStyle name="Normal 4 3 2 5 2 2 7" xfId="5417" xr:uid="{2CCD6A44-6BBB-4B78-97F5-ECF2ED652D9F}"/>
    <cellStyle name="Normal 4 3 2 5 2 3" xfId="5418" xr:uid="{140A2B9E-3F1B-4DE7-87C6-86F8FC6F7D26}"/>
    <cellStyle name="Normal 4 3 2 5 2 3 2" xfId="5419" xr:uid="{401E51CC-DC0A-41F9-A026-EBD2D262D564}"/>
    <cellStyle name="Normal 4 3 2 5 2 3 2 2" xfId="5420" xr:uid="{B03D2164-BE37-45D4-93D3-DD0535B119F7}"/>
    <cellStyle name="Normal 4 3 2 5 2 3 2 3" xfId="5421" xr:uid="{A08301B1-126B-4409-854E-EADA12460160}"/>
    <cellStyle name="Normal 4 3 2 5 2 3 3" xfId="5422" xr:uid="{D04EE695-FAE0-46B1-B7F6-4A9DA65D9A34}"/>
    <cellStyle name="Normal 4 3 2 5 2 3 4" xfId="5423" xr:uid="{BAB0DA1F-0C4A-4364-A1D0-B9092070C005}"/>
    <cellStyle name="Normal 4 3 2 5 2 3 5" xfId="5424" xr:uid="{E5E86E40-00ED-4ED7-94D9-24B1709022E9}"/>
    <cellStyle name="Normal 4 3 2 5 2 4" xfId="5425" xr:uid="{4FA45CB7-962A-4E41-8E2D-D5859B2D05D6}"/>
    <cellStyle name="Normal 4 3 2 5 2 4 2" xfId="5426" xr:uid="{058679F0-1072-4E81-A7C4-619702E764F8}"/>
    <cellStyle name="Normal 4 3 2 5 2 4 2 2" xfId="5427" xr:uid="{01E6DFF3-50D7-4701-AADD-7507B50D5545}"/>
    <cellStyle name="Normal 4 3 2 5 2 4 2 3" xfId="5428" xr:uid="{231CC403-8B05-4F2C-BD52-010AB6041F26}"/>
    <cellStyle name="Normal 4 3 2 5 2 4 3" xfId="5429" xr:uid="{D9B63CA4-3555-4212-BB77-D6510E7B2B8D}"/>
    <cellStyle name="Normal 4 3 2 5 2 4 4" xfId="5430" xr:uid="{DAA1E3D0-1B3E-49F7-9C6E-85AD2314DE87}"/>
    <cellStyle name="Normal 4 3 2 5 2 4 5" xfId="5431" xr:uid="{0B804E3C-6490-4756-8888-65DD7E9A4CF7}"/>
    <cellStyle name="Normal 4 3 2 5 2 5" xfId="5432" xr:uid="{CC93338D-5A88-43C2-8C42-FDA75D73329D}"/>
    <cellStyle name="Normal 4 3 2 5 2 5 2" xfId="5433" xr:uid="{3BB17355-A4A6-417E-96E4-9608A7FFA2C5}"/>
    <cellStyle name="Normal 4 3 2 5 2 5 3" xfId="5434" xr:uid="{BE6FC640-5085-4649-AD31-5B662F62AA45}"/>
    <cellStyle name="Normal 4 3 2 5 2 6" xfId="5435" xr:uid="{94953C01-D685-4889-98B1-A8AE0537B71C}"/>
    <cellStyle name="Normal 4 3 2 5 2 7" xfId="5436" xr:uid="{CBA0CD39-D312-4195-BD4E-8661B2658322}"/>
    <cellStyle name="Normal 4 3 2 5 2 8" xfId="5437" xr:uid="{EDABAEEE-11C8-49C3-A026-E4AF42917B82}"/>
    <cellStyle name="Normal 4 3 2 5 3" xfId="5438" xr:uid="{60848CDA-4EC9-45C1-B4F0-C5901AC6B7A9}"/>
    <cellStyle name="Normal 4 3 2 5 3 2" xfId="5439" xr:uid="{83C44F6A-E876-4BCA-89A5-85C197DEE20F}"/>
    <cellStyle name="Normal 4 3 2 5 3 2 2" xfId="5440" xr:uid="{A4E820B2-79E4-4119-A2F0-C15B23CCBAC3}"/>
    <cellStyle name="Normal 4 3 2 5 3 2 2 2" xfId="5441" xr:uid="{E026B135-E28B-4F03-8224-1762F5D06437}"/>
    <cellStyle name="Normal 4 3 2 5 3 2 2 3" xfId="5442" xr:uid="{99329BD3-C6BA-410D-B32F-FC0B6416C377}"/>
    <cellStyle name="Normal 4 3 2 5 3 2 3" xfId="5443" xr:uid="{5A01DAFC-CD15-41F4-8063-C344FD9E3BBF}"/>
    <cellStyle name="Normal 4 3 2 5 3 2 4" xfId="5444" xr:uid="{4F498E29-4B5E-4CC0-99E4-28210E2C9936}"/>
    <cellStyle name="Normal 4 3 2 5 3 2 5" xfId="5445" xr:uid="{D69870D4-2A87-4195-AA70-CC8D1ACC3A0E}"/>
    <cellStyle name="Normal 4 3 2 5 3 3" xfId="5446" xr:uid="{392D89A8-D073-4A92-BFC4-F1B4621ACE23}"/>
    <cellStyle name="Normal 4 3 2 5 3 3 2" xfId="5447" xr:uid="{A72B346B-7D45-431D-8532-33A6F4E4A8C7}"/>
    <cellStyle name="Normal 4 3 2 5 3 3 2 2" xfId="5448" xr:uid="{80C313B3-0004-4139-B4C5-921494656166}"/>
    <cellStyle name="Normal 4 3 2 5 3 3 2 3" xfId="5449" xr:uid="{B810AE49-A642-4D75-A432-56CE6B0D2C53}"/>
    <cellStyle name="Normal 4 3 2 5 3 3 3" xfId="5450" xr:uid="{EE86DEC3-7A4B-454A-A88F-1747B4907AB5}"/>
    <cellStyle name="Normal 4 3 2 5 3 3 4" xfId="5451" xr:uid="{9CF9EA2B-42D0-455A-B453-77967F2B6550}"/>
    <cellStyle name="Normal 4 3 2 5 3 3 5" xfId="5452" xr:uid="{F7661F26-F2D6-4D11-BF42-F15BDBAF8B67}"/>
    <cellStyle name="Normal 4 3 2 5 3 4" xfId="5453" xr:uid="{445EA058-D9BF-4949-A854-41B8C0004863}"/>
    <cellStyle name="Normal 4 3 2 5 3 4 2" xfId="5454" xr:uid="{977E4F91-B3AC-4BE0-B5A6-A0FAF649A6C9}"/>
    <cellStyle name="Normal 4 3 2 5 3 4 3" xfId="5455" xr:uid="{5AABB0A6-5960-49F1-A59E-D3DE6078BF59}"/>
    <cellStyle name="Normal 4 3 2 5 3 5" xfId="5456" xr:uid="{DB577591-72AF-4B6A-B9CB-0D0DF76DECC1}"/>
    <cellStyle name="Normal 4 3 2 5 3 6" xfId="5457" xr:uid="{4DED12CA-8082-4CF9-8DC8-BC2EBE0C6168}"/>
    <cellStyle name="Normal 4 3 2 5 3 7" xfId="5458" xr:uid="{55A53067-4A72-4C91-A32B-4AACB69C7885}"/>
    <cellStyle name="Normal 4 3 2 5 4" xfId="5459" xr:uid="{BF26E3E1-4857-47BB-8AD4-E28DB31CEEA3}"/>
    <cellStyle name="Normal 4 3 2 5 4 2" xfId="5460" xr:uid="{3979E009-B91F-42FB-AFB5-EE6530922A16}"/>
    <cellStyle name="Normal 4 3 2 5 4 2 2" xfId="5461" xr:uid="{E9739E98-4659-451B-9C9F-14E615EC94E8}"/>
    <cellStyle name="Normal 4 3 2 5 4 2 3" xfId="5462" xr:uid="{3FDC97B4-39E3-4942-B40D-5C551E1D378D}"/>
    <cellStyle name="Normal 4 3 2 5 4 3" xfId="5463" xr:uid="{7F12677C-0C0D-47A9-83E5-E263AD271FFA}"/>
    <cellStyle name="Normal 4 3 2 5 4 4" xfId="5464" xr:uid="{5A36B01C-2C6A-49DC-AE60-CD522A6A666C}"/>
    <cellStyle name="Normal 4 3 2 5 4 5" xfId="5465" xr:uid="{CE3795CD-B7C1-4D34-B97B-25E261FA751D}"/>
    <cellStyle name="Normal 4 3 2 5 5" xfId="5466" xr:uid="{800455C3-D18D-4B4C-ADFA-018ED01CD24E}"/>
    <cellStyle name="Normal 4 3 2 5 5 2" xfId="5467" xr:uid="{AE3C7CD7-923E-4AE6-8EB8-CB57A1F9C9C3}"/>
    <cellStyle name="Normal 4 3 2 5 5 2 2" xfId="5468" xr:uid="{0A84AC92-3CA7-4A11-9EAE-D2004CFBF22C}"/>
    <cellStyle name="Normal 4 3 2 5 5 2 3" xfId="5469" xr:uid="{101E7132-DED0-4C53-BE68-6A8AD9ECC681}"/>
    <cellStyle name="Normal 4 3 2 5 5 3" xfId="5470" xr:uid="{4F91B99E-4A41-4CC9-8402-F25C3AEF9458}"/>
    <cellStyle name="Normal 4 3 2 5 5 4" xfId="5471" xr:uid="{2E2EF8CA-C3FC-462C-9D3C-28DC07E37BF5}"/>
    <cellStyle name="Normal 4 3 2 5 5 5" xfId="5472" xr:uid="{42A3B727-5E62-48A0-B5A6-487356F0733B}"/>
    <cellStyle name="Normal 4 3 2 5 6" xfId="5473" xr:uid="{EF328952-7A20-4C13-BEAD-BC9C3216E716}"/>
    <cellStyle name="Normal 4 3 2 5 6 2" xfId="5474" xr:uid="{EF0AB97F-5449-4198-8092-3EED00DB333D}"/>
    <cellStyle name="Normal 4 3 2 5 6 3" xfId="5475" xr:uid="{3A9AA6FA-F899-4E7F-A5D8-32C1292E97C8}"/>
    <cellStyle name="Normal 4 3 2 5 7" xfId="5476" xr:uid="{8972FBFE-D238-4738-B510-447DD83CB5A1}"/>
    <cellStyle name="Normal 4 3 2 5 8" xfId="5477" xr:uid="{9A889B72-4F15-4773-8570-480991610EB9}"/>
    <cellStyle name="Normal 4 3 2 5 9" xfId="5478" xr:uid="{953D08DE-309C-4378-ABB8-6FA928307742}"/>
    <cellStyle name="Normal 4 3 2 6" xfId="5479" xr:uid="{27CBEDDD-BDDC-43EC-B7DD-DFF705563D4B}"/>
    <cellStyle name="Normal 4 3 2 6 2" xfId="5480" xr:uid="{9DEFD94C-4BB3-4117-B645-C53183AADD06}"/>
    <cellStyle name="Normal 4 3 2 6 2 2" xfId="5481" xr:uid="{019FAD88-1748-4C7F-830E-7ECB2355BBD2}"/>
    <cellStyle name="Normal 4 3 2 6 2 2 2" xfId="5482" xr:uid="{473E6E17-4261-489A-8C79-617F2AC3F422}"/>
    <cellStyle name="Normal 4 3 2 6 2 2 2 2" xfId="5483" xr:uid="{F69A8271-0B8C-4457-AC59-F7FAD985BD6B}"/>
    <cellStyle name="Normal 4 3 2 6 2 2 2 3" xfId="5484" xr:uid="{0A2165EF-FBFA-4CE2-B4CC-462D06E687D0}"/>
    <cellStyle name="Normal 4 3 2 6 2 2 3" xfId="5485" xr:uid="{2AE1C53E-D779-4EE4-8210-E7DDB9445747}"/>
    <cellStyle name="Normal 4 3 2 6 2 2 4" xfId="5486" xr:uid="{96CECD9F-7605-415E-A959-D90BD62FDD93}"/>
    <cellStyle name="Normal 4 3 2 6 2 2 5" xfId="5487" xr:uid="{21184D94-D738-4792-BD2D-8319DFFBE3FA}"/>
    <cellStyle name="Normal 4 3 2 6 2 3" xfId="5488" xr:uid="{2C722792-C54E-4D6E-8009-6F5A4D432C40}"/>
    <cellStyle name="Normal 4 3 2 6 2 3 2" xfId="5489" xr:uid="{21D0E917-5011-4EA5-9E1D-DA4B2AA6B30D}"/>
    <cellStyle name="Normal 4 3 2 6 2 3 2 2" xfId="5490" xr:uid="{4E2FB0F9-B497-4919-8CE1-661EE8897EC7}"/>
    <cellStyle name="Normal 4 3 2 6 2 3 2 3" xfId="5491" xr:uid="{8B169543-0755-499F-830B-F69BA6616A6C}"/>
    <cellStyle name="Normal 4 3 2 6 2 3 3" xfId="5492" xr:uid="{289AA170-04DE-4109-8200-4D6BAAB603FF}"/>
    <cellStyle name="Normal 4 3 2 6 2 3 4" xfId="5493" xr:uid="{06607854-F2DD-4233-A4B5-3E6CBBB08B1D}"/>
    <cellStyle name="Normal 4 3 2 6 2 3 5" xfId="5494" xr:uid="{1EDF8A07-72ED-436C-96C1-11F12DA71B6C}"/>
    <cellStyle name="Normal 4 3 2 6 2 4" xfId="5495" xr:uid="{07B43C7A-5B06-428D-9D27-2ED4A5EDF3AA}"/>
    <cellStyle name="Normal 4 3 2 6 2 4 2" xfId="5496" xr:uid="{FEF434A7-53FF-4C01-A603-2E17B1EAC9B8}"/>
    <cellStyle name="Normal 4 3 2 6 2 4 3" xfId="5497" xr:uid="{F1A17320-FC77-4053-B32C-EB3105833328}"/>
    <cellStyle name="Normal 4 3 2 6 2 5" xfId="5498" xr:uid="{DCB5A6B7-DE2F-4D5B-B863-69772241BE40}"/>
    <cellStyle name="Normal 4 3 2 6 2 6" xfId="5499" xr:uid="{FDB3AEAE-7BE7-494F-82C8-B3BDB262E520}"/>
    <cellStyle name="Normal 4 3 2 6 2 7" xfId="5500" xr:uid="{4D12CB0A-F933-48D0-8C48-E6F1305F62F1}"/>
    <cellStyle name="Normal 4 3 2 6 3" xfId="5501" xr:uid="{3209E32F-38A6-4857-BE32-C0687EDEEFCC}"/>
    <cellStyle name="Normal 4 3 2 6 3 2" xfId="5502" xr:uid="{B4A557BA-A8E7-44D3-9D7C-BB03B20118FF}"/>
    <cellStyle name="Normal 4 3 2 6 3 2 2" xfId="5503" xr:uid="{BC741C79-2663-485C-81B0-90852CAC5F8B}"/>
    <cellStyle name="Normal 4 3 2 6 3 2 3" xfId="5504" xr:uid="{90C3B3BB-1C5E-4B56-ABE6-8CDEB5712EF0}"/>
    <cellStyle name="Normal 4 3 2 6 3 3" xfId="5505" xr:uid="{CF24FCC8-3994-4FD1-A4D1-62ADFA35B541}"/>
    <cellStyle name="Normal 4 3 2 6 3 4" xfId="5506" xr:uid="{08471398-3E45-4587-B36E-C8FEAB2DFF33}"/>
    <cellStyle name="Normal 4 3 2 6 3 5" xfId="5507" xr:uid="{5A564688-1832-4EDA-99E9-19754B383679}"/>
    <cellStyle name="Normal 4 3 2 6 4" xfId="5508" xr:uid="{752536F8-33AE-445D-B61D-088B72BBD9B5}"/>
    <cellStyle name="Normal 4 3 2 6 4 2" xfId="5509" xr:uid="{49F107FD-2277-48AA-9BFC-EA248CFF502A}"/>
    <cellStyle name="Normal 4 3 2 6 4 2 2" xfId="5510" xr:uid="{0B58F0FE-72D9-4184-A7E4-773F1A79E734}"/>
    <cellStyle name="Normal 4 3 2 6 4 2 3" xfId="5511" xr:uid="{F8A2E39B-C6F7-4361-959C-CB02D9C3C208}"/>
    <cellStyle name="Normal 4 3 2 6 4 3" xfId="5512" xr:uid="{D2E6C9C4-4510-42EF-A544-879B5A61B0F8}"/>
    <cellStyle name="Normal 4 3 2 6 4 4" xfId="5513" xr:uid="{B5000392-0605-44E5-A61B-C73FA92CF93B}"/>
    <cellStyle name="Normal 4 3 2 6 4 5" xfId="5514" xr:uid="{5611BB9C-F3B7-461D-B12D-5C775E877384}"/>
    <cellStyle name="Normal 4 3 2 6 5" xfId="5515" xr:uid="{6035891F-0A5D-42B9-BA05-204670FC762E}"/>
    <cellStyle name="Normal 4 3 2 6 5 2" xfId="5516" xr:uid="{7323C955-9067-4B69-9532-BEFF72305E49}"/>
    <cellStyle name="Normal 4 3 2 6 5 3" xfId="5517" xr:uid="{226266E3-878D-4D05-94A0-16EA4CFADA0C}"/>
    <cellStyle name="Normal 4 3 2 6 6" xfId="5518" xr:uid="{7FB7A373-04D2-44E2-B6FE-C5E8F6B4D3AA}"/>
    <cellStyle name="Normal 4 3 2 6 7" xfId="5519" xr:uid="{42260211-49CD-409E-87C1-634CF5BB6748}"/>
    <cellStyle name="Normal 4 3 2 6 8" xfId="5520" xr:uid="{A7076778-65DA-47C4-9E0A-BBAA50D59262}"/>
    <cellStyle name="Normal 4 3 2 7" xfId="5521" xr:uid="{20F4AB3C-B2B9-4E52-A559-DB2D4BC4D8E7}"/>
    <cellStyle name="Normal 4 3 2 7 2" xfId="5522" xr:uid="{2DD2C751-B7D7-47E7-9F06-72C49C077588}"/>
    <cellStyle name="Normal 4 3 2 7 2 2" xfId="5523" xr:uid="{CD0AFF30-6197-4A4D-91DD-D2A618B54D78}"/>
    <cellStyle name="Normal 4 3 2 7 2 2 2" xfId="5524" xr:uid="{4F76A959-F867-4187-B63A-2F81E0B9FF2D}"/>
    <cellStyle name="Normal 4 3 2 7 2 2 3" xfId="5525" xr:uid="{5F6AD319-FCDE-4FBE-A839-14A1AEF821B6}"/>
    <cellStyle name="Normal 4 3 2 7 2 3" xfId="5526" xr:uid="{4D88D1F1-2092-4415-B99D-20931548E647}"/>
    <cellStyle name="Normal 4 3 2 7 2 4" xfId="5527" xr:uid="{C9789E58-13DE-47D0-945C-BE0BC32EB158}"/>
    <cellStyle name="Normal 4 3 2 7 2 5" xfId="5528" xr:uid="{BCCCEC57-4525-4F67-AE5E-8155FF4CC06C}"/>
    <cellStyle name="Normal 4 3 2 7 3" xfId="5529" xr:uid="{DCFD7BCF-F238-45DA-A9EB-F9A3444CE294}"/>
    <cellStyle name="Normal 4 3 2 7 3 2" xfId="5530" xr:uid="{2B1DF8AF-851E-41F0-B166-74302BEA673B}"/>
    <cellStyle name="Normal 4 3 2 7 3 2 2" xfId="5531" xr:uid="{20DB1FCD-D77A-4B7D-8114-D31ECB3A756E}"/>
    <cellStyle name="Normal 4 3 2 7 3 2 3" xfId="5532" xr:uid="{0E4C545E-8490-444C-8E3C-8D903DC584C2}"/>
    <cellStyle name="Normal 4 3 2 7 3 3" xfId="5533" xr:uid="{9B4E9967-E376-404F-B791-EE09F513F853}"/>
    <cellStyle name="Normal 4 3 2 7 3 4" xfId="5534" xr:uid="{13A19ACE-7961-4D32-86D0-EB87AEA312B6}"/>
    <cellStyle name="Normal 4 3 2 7 3 5" xfId="5535" xr:uid="{3115501E-049B-4B0E-BD33-5C81692FFE01}"/>
    <cellStyle name="Normal 4 3 2 7 4" xfId="5536" xr:uid="{F0690203-01C6-4821-9BDD-B56660646DE7}"/>
    <cellStyle name="Normal 4 3 2 7 4 2" xfId="5537" xr:uid="{A2DCE18F-8CE7-4068-81DA-811BCE696D4E}"/>
    <cellStyle name="Normal 4 3 2 7 4 3" xfId="5538" xr:uid="{AEFA0C1B-A9B2-42DF-9FE5-0EEDFDD49DDF}"/>
    <cellStyle name="Normal 4 3 2 7 5" xfId="5539" xr:uid="{5D460CF9-4371-48CB-82C5-F94099571423}"/>
    <cellStyle name="Normal 4 3 2 7 6" xfId="5540" xr:uid="{5B72E8D6-6280-4248-A3F6-6887E199F4A7}"/>
    <cellStyle name="Normal 4 3 2 7 7" xfId="5541" xr:uid="{120E9710-89AB-4E36-9642-DDF48AB17507}"/>
    <cellStyle name="Normal 4 3 2 8" xfId="5542" xr:uid="{677512CC-D1AC-4EE8-B055-2396249C0CD7}"/>
    <cellStyle name="Normal 4 3 2 8 2" xfId="5543" xr:uid="{6F83FCA8-4EF3-42F7-A302-51F5DE5C62BE}"/>
    <cellStyle name="Normal 4 3 2 8 2 2" xfId="5544" xr:uid="{3F795ABE-8CD4-4B5B-9CB5-94A99A70A22C}"/>
    <cellStyle name="Normal 4 3 2 8 2 2 2" xfId="5545" xr:uid="{65ADE5D1-FCD7-474C-AF32-BEA2C63CC808}"/>
    <cellStyle name="Normal 4 3 2 8 2 2 3" xfId="5546" xr:uid="{39A6FB07-0944-4C10-BE10-9B04B8CB21E4}"/>
    <cellStyle name="Normal 4 3 2 8 2 3" xfId="5547" xr:uid="{B86D0DC8-0E43-45B5-9BBE-E2B302395D7C}"/>
    <cellStyle name="Normal 4 3 2 8 2 4" xfId="5548" xr:uid="{2C16037E-7E08-47DF-AF69-16BCDC359F91}"/>
    <cellStyle name="Normal 4 3 2 8 2 5" xfId="5549" xr:uid="{FC0E65E9-1256-4C5A-8C8B-4A559FC64053}"/>
    <cellStyle name="Normal 4 3 2 8 3" xfId="5550" xr:uid="{98462AF0-1DB8-48FF-8645-1E1B8F7503C7}"/>
    <cellStyle name="Normal 4 3 2 8 3 2" xfId="5551" xr:uid="{538A9B94-2DD4-4156-BA54-3D2DE7BAAC94}"/>
    <cellStyle name="Normal 4 3 2 8 3 2 2" xfId="5552" xr:uid="{763BF218-CB8D-4B8D-A807-081E6418EBA8}"/>
    <cellStyle name="Normal 4 3 2 8 3 2 3" xfId="5553" xr:uid="{5399881A-ED75-4804-9776-B87BFEA7F6D5}"/>
    <cellStyle name="Normal 4 3 2 8 3 3" xfId="5554" xr:uid="{81E8703F-567C-4D04-AC9A-55FF9C0EBB68}"/>
    <cellStyle name="Normal 4 3 2 8 3 4" xfId="5555" xr:uid="{D187DD50-63F5-439A-BE97-A7E09F10C792}"/>
    <cellStyle name="Normal 4 3 2 8 3 5" xfId="5556" xr:uid="{73B6A862-F070-4D08-967F-257915237C32}"/>
    <cellStyle name="Normal 4 3 2 8 4" xfId="5557" xr:uid="{9F2471F1-4952-4B36-B4C5-BDBCB8CE3B0F}"/>
    <cellStyle name="Normal 4 3 2 8 4 2" xfId="5558" xr:uid="{F1997523-CD74-49D6-AA29-78B4E4C62E6C}"/>
    <cellStyle name="Normal 4 3 2 8 4 3" xfId="5559" xr:uid="{CB68809C-91E8-4436-BEB7-F462704BDF45}"/>
    <cellStyle name="Normal 4 3 2 8 5" xfId="5560" xr:uid="{A6C58BB2-9909-4131-832E-64EC6E7E2902}"/>
    <cellStyle name="Normal 4 3 2 8 6" xfId="5561" xr:uid="{8FBA2C12-83F9-4D9D-9BAD-6D695BE8328B}"/>
    <cellStyle name="Normal 4 3 2 8 7" xfId="5562" xr:uid="{C918CE99-52FD-447A-B72B-7A418DA9C179}"/>
    <cellStyle name="Normal 4 3 2 9" xfId="5563" xr:uid="{41B446E5-BFFB-4C3B-B0F1-F129F963D287}"/>
    <cellStyle name="Normal 4 3 2 9 2" xfId="5564" xr:uid="{77790E2A-08B9-4BA7-A4EF-6BFE1541EC8C}"/>
    <cellStyle name="Normal 4 3 2 9 2 2" xfId="5565" xr:uid="{A564041E-EE87-4B1D-A12A-556CE68874B0}"/>
    <cellStyle name="Normal 4 3 2 9 2 3" xfId="5566" xr:uid="{18091A2A-38A4-47A2-AC19-AAF23EEBF9B1}"/>
    <cellStyle name="Normal 4 3 2 9 3" xfId="5567" xr:uid="{52FCCBDC-E3CC-4F7A-AA6A-0392A7B9E50E}"/>
    <cellStyle name="Normal 4 3 2 9 4" xfId="5568" xr:uid="{04099BDC-891F-4699-8748-FAA6B3350759}"/>
    <cellStyle name="Normal 4 3 2 9 5" xfId="5569" xr:uid="{AD491E86-446A-4A1C-8A64-D58A47153A5D}"/>
    <cellStyle name="Normal 4 3 3" xfId="5570" xr:uid="{9C3977E0-7EFF-4182-9B5E-D8C5835C9B24}"/>
    <cellStyle name="Normal 4 3 3 10" xfId="5571" xr:uid="{E938011F-5DE8-49EE-8B04-FA6AF9764B17}"/>
    <cellStyle name="Normal 4 3 3 10 2" xfId="5572" xr:uid="{D5F615BE-C938-4497-AE50-421BDB246472}"/>
    <cellStyle name="Normal 4 3 3 10 2 2" xfId="5573" xr:uid="{B504F4D5-6DE9-4A96-9F7A-5DEAEBAEE8FE}"/>
    <cellStyle name="Normal 4 3 3 10 2 3" xfId="5574" xr:uid="{49A4CA6A-A703-406C-BC26-EFDE4E3175E8}"/>
    <cellStyle name="Normal 4 3 3 10 3" xfId="5575" xr:uid="{A0732B50-EBE5-4B5B-AB8B-7D29ABDBEEB7}"/>
    <cellStyle name="Normal 4 3 3 10 4" xfId="5576" xr:uid="{A1987A70-0E78-472C-BC3F-F9467B2290E0}"/>
    <cellStyle name="Normal 4 3 3 10 5" xfId="5577" xr:uid="{4B60E4A2-BC9D-456C-9C4D-9F1F8737A6A0}"/>
    <cellStyle name="Normal 4 3 3 11" xfId="5578" xr:uid="{19919938-BDF4-4BEF-8001-68957E325159}"/>
    <cellStyle name="Normal 4 3 3 11 2" xfId="5579" xr:uid="{C2D45781-7F23-48F1-9F6F-056AB45F7B58}"/>
    <cellStyle name="Normal 4 3 3 11 3" xfId="5580" xr:uid="{76CB086A-214A-4A9E-85F5-7F853738ED9C}"/>
    <cellStyle name="Normal 4 3 3 12" xfId="5581" xr:uid="{0464A022-EFB6-4566-9341-A228EA9A5226}"/>
    <cellStyle name="Normal 4 3 3 13" xfId="5582" xr:uid="{134968B7-2EDF-4C0C-8030-5A8EF05C9CF1}"/>
    <cellStyle name="Normal 4 3 3 14" xfId="5583" xr:uid="{B5FF5243-F650-49A4-8F77-D3EC067B0291}"/>
    <cellStyle name="Normal 4 3 3 2" xfId="5584" xr:uid="{9FAF1EF2-B3A4-4018-AF6F-7B65446D7A68}"/>
    <cellStyle name="Normal 4 3 3 2 10" xfId="5585" xr:uid="{B69D18EF-0785-4F0B-93B8-C610582DFBCA}"/>
    <cellStyle name="Normal 4 3 3 2 11" xfId="5586" xr:uid="{714B0107-3459-4886-9712-196889514C15}"/>
    <cellStyle name="Normal 4 3 3 2 12" xfId="5587" xr:uid="{2068B312-1439-437A-9A62-1659DFA61C49}"/>
    <cellStyle name="Normal 4 3 3 2 2" xfId="5588" xr:uid="{948E46E9-124B-4550-870E-7E2536E228AB}"/>
    <cellStyle name="Normal 4 3 3 2 2 2" xfId="5589" xr:uid="{5274976C-4A5D-4C33-A80A-62DBD08446D1}"/>
    <cellStyle name="Normal 4 3 3 2 2 2 2" xfId="5590" xr:uid="{FA2B2193-2D50-4003-9568-D6F5406477B6}"/>
    <cellStyle name="Normal 4 3 3 2 2 2 2 2" xfId="5591" xr:uid="{8669A872-351D-4E1D-B9A7-5F78CDD896A6}"/>
    <cellStyle name="Normal 4 3 3 2 2 2 2 2 2" xfId="5592" xr:uid="{A3A1A328-5598-415C-8ED8-35A172A5A7A5}"/>
    <cellStyle name="Normal 4 3 3 2 2 2 2 2 2 2" xfId="5593" xr:uid="{7BB0A02B-3ADB-4288-800A-15A8B728B5E0}"/>
    <cellStyle name="Normal 4 3 3 2 2 2 2 2 2 3" xfId="5594" xr:uid="{DD95F5E6-1F40-4019-82EA-E48ECF471095}"/>
    <cellStyle name="Normal 4 3 3 2 2 2 2 2 3" xfId="5595" xr:uid="{540578D6-0ED3-4EE4-A7FB-59115092A3F2}"/>
    <cellStyle name="Normal 4 3 3 2 2 2 2 2 4" xfId="5596" xr:uid="{3EB0AF16-B92A-4977-AB8E-9F85E1465F77}"/>
    <cellStyle name="Normal 4 3 3 2 2 2 2 2 5" xfId="5597" xr:uid="{EBD33438-6210-4ED3-AB35-678600D077E0}"/>
    <cellStyle name="Normal 4 3 3 2 2 2 2 3" xfId="5598" xr:uid="{97F21394-E0F0-451E-B4B8-DEBF3AEC3221}"/>
    <cellStyle name="Normal 4 3 3 2 2 2 2 3 2" xfId="5599" xr:uid="{495BBA79-341D-4AC0-83DC-B7F127134A58}"/>
    <cellStyle name="Normal 4 3 3 2 2 2 2 3 2 2" xfId="5600" xr:uid="{CBD127DB-F5FB-4ADA-8D5C-959CC45ADF28}"/>
    <cellStyle name="Normal 4 3 3 2 2 2 2 3 2 3" xfId="5601" xr:uid="{1EB23B6B-553C-4185-8021-1DF1D0B641E1}"/>
    <cellStyle name="Normal 4 3 3 2 2 2 2 3 3" xfId="5602" xr:uid="{E1C9967B-AEC0-49C5-A6C6-81248563ED84}"/>
    <cellStyle name="Normal 4 3 3 2 2 2 2 3 4" xfId="5603" xr:uid="{F26C5329-8C8C-4FC0-BB4D-E6CA98A1EFA9}"/>
    <cellStyle name="Normal 4 3 3 2 2 2 2 3 5" xfId="5604" xr:uid="{C068F463-0E59-4C1B-8E83-0DE7A7E11432}"/>
    <cellStyle name="Normal 4 3 3 2 2 2 2 4" xfId="5605" xr:uid="{3814CF36-3D21-4B33-98DC-D4A29AE41469}"/>
    <cellStyle name="Normal 4 3 3 2 2 2 2 4 2" xfId="5606" xr:uid="{579C1417-5F48-435D-B7EB-5A12B8892CD7}"/>
    <cellStyle name="Normal 4 3 3 2 2 2 2 4 3" xfId="5607" xr:uid="{103BAC0C-FCBA-4D5A-827B-FAED5611865E}"/>
    <cellStyle name="Normal 4 3 3 2 2 2 2 5" xfId="5608" xr:uid="{06F9F596-80D6-452F-A819-5CB9A9D4294D}"/>
    <cellStyle name="Normal 4 3 3 2 2 2 2 6" xfId="5609" xr:uid="{22503BCF-FA09-4D4E-AF3A-40FE6A969717}"/>
    <cellStyle name="Normal 4 3 3 2 2 2 2 7" xfId="5610" xr:uid="{5055A639-83BA-4F66-B4ED-ECF368103CD7}"/>
    <cellStyle name="Normal 4 3 3 2 2 2 3" xfId="5611" xr:uid="{334FE2C7-AC3E-42EF-9DBD-2384C3CDD6E2}"/>
    <cellStyle name="Normal 4 3 3 2 2 2 3 2" xfId="5612" xr:uid="{8CC2C397-B306-4AD7-B8BC-6F552323C24E}"/>
    <cellStyle name="Normal 4 3 3 2 2 2 3 2 2" xfId="5613" xr:uid="{AAEB8A1A-2E7F-4F9C-8878-E640F5F3A8E0}"/>
    <cellStyle name="Normal 4 3 3 2 2 2 3 2 3" xfId="5614" xr:uid="{B14AC232-0976-486D-A350-E239A7C94115}"/>
    <cellStyle name="Normal 4 3 3 2 2 2 3 3" xfId="5615" xr:uid="{40A960E1-F051-4893-9038-B7B0F6AED61D}"/>
    <cellStyle name="Normal 4 3 3 2 2 2 3 4" xfId="5616" xr:uid="{EA7BDAA3-A98E-463A-AA1F-EF7900455107}"/>
    <cellStyle name="Normal 4 3 3 2 2 2 3 5" xfId="5617" xr:uid="{2982FC06-8FA1-4622-98D5-4AF0E2E5FD9F}"/>
    <cellStyle name="Normal 4 3 3 2 2 2 4" xfId="5618" xr:uid="{743B8F9F-8106-4327-AAF4-21C52DDE47BB}"/>
    <cellStyle name="Normal 4 3 3 2 2 2 4 2" xfId="5619" xr:uid="{31A7B572-9660-44FC-97B5-BA1FE91FCF3D}"/>
    <cellStyle name="Normal 4 3 3 2 2 2 4 2 2" xfId="5620" xr:uid="{2E9755AB-7B0D-40E2-A752-43A4D5E3F3B0}"/>
    <cellStyle name="Normal 4 3 3 2 2 2 4 2 3" xfId="5621" xr:uid="{BB6823F5-65C4-4800-8358-4D6780CA230D}"/>
    <cellStyle name="Normal 4 3 3 2 2 2 4 3" xfId="5622" xr:uid="{D1D808C7-3231-480E-B917-513689C626B9}"/>
    <cellStyle name="Normal 4 3 3 2 2 2 4 4" xfId="5623" xr:uid="{E0223E31-C6AA-46B6-8B69-B873A305B00D}"/>
    <cellStyle name="Normal 4 3 3 2 2 2 4 5" xfId="5624" xr:uid="{A23E832E-ACE1-411F-A945-D9394BA44292}"/>
    <cellStyle name="Normal 4 3 3 2 2 2 5" xfId="5625" xr:uid="{BBFBB74C-B907-4166-8215-1B034DC06E9D}"/>
    <cellStyle name="Normal 4 3 3 2 2 2 5 2" xfId="5626" xr:uid="{BDBB19AB-AA02-4B21-9659-DF659F9BD293}"/>
    <cellStyle name="Normal 4 3 3 2 2 2 5 3" xfId="5627" xr:uid="{30AE438D-81A0-40EC-9EF1-2C3E1A390AF4}"/>
    <cellStyle name="Normal 4 3 3 2 2 2 6" xfId="5628" xr:uid="{8431784A-478E-44BD-A95A-7AF52E8927F7}"/>
    <cellStyle name="Normal 4 3 3 2 2 2 7" xfId="5629" xr:uid="{EB1B30EF-0300-4F02-B6B2-03C76877B854}"/>
    <cellStyle name="Normal 4 3 3 2 2 2 8" xfId="5630" xr:uid="{542A82BC-6618-42FF-9291-62D52A3497E7}"/>
    <cellStyle name="Normal 4 3 3 2 2 3" xfId="5631" xr:uid="{062027A3-163A-48CF-9A53-3E78012F7FEE}"/>
    <cellStyle name="Normal 4 3 3 2 2 3 2" xfId="5632" xr:uid="{403F70FA-2046-49D3-839A-40436AFF5997}"/>
    <cellStyle name="Normal 4 3 3 2 2 3 2 2" xfId="5633" xr:uid="{C5A6A454-8691-4B0F-A197-EF29843192A3}"/>
    <cellStyle name="Normal 4 3 3 2 2 3 2 2 2" xfId="5634" xr:uid="{5D761401-5AC3-4473-8906-2B5F5A4904B1}"/>
    <cellStyle name="Normal 4 3 3 2 2 3 2 2 3" xfId="5635" xr:uid="{32165C86-68BA-4780-9189-42C418F70D11}"/>
    <cellStyle name="Normal 4 3 3 2 2 3 2 3" xfId="5636" xr:uid="{9E8182A1-6567-47BA-B78E-09D52EAB2991}"/>
    <cellStyle name="Normal 4 3 3 2 2 3 2 4" xfId="5637" xr:uid="{28915DF2-CB21-4AFA-807A-6065763F287D}"/>
    <cellStyle name="Normal 4 3 3 2 2 3 2 5" xfId="5638" xr:uid="{C665B06F-7040-44BE-9973-9357F2076B84}"/>
    <cellStyle name="Normal 4 3 3 2 2 3 3" xfId="5639" xr:uid="{285D9CB3-9E72-4CB2-B9ED-022FF554B6C1}"/>
    <cellStyle name="Normal 4 3 3 2 2 3 3 2" xfId="5640" xr:uid="{E1478078-30E5-42EC-A507-4F33444AB94C}"/>
    <cellStyle name="Normal 4 3 3 2 2 3 3 2 2" xfId="5641" xr:uid="{1623F822-BF47-4F91-B46E-0E89328D63AE}"/>
    <cellStyle name="Normal 4 3 3 2 2 3 3 2 3" xfId="5642" xr:uid="{6F4ECF9F-6516-4248-8A6D-A606B6752182}"/>
    <cellStyle name="Normal 4 3 3 2 2 3 3 3" xfId="5643" xr:uid="{196A60ED-29F3-4039-BA44-CDF1E7CA39F9}"/>
    <cellStyle name="Normal 4 3 3 2 2 3 3 4" xfId="5644" xr:uid="{DE459523-CC32-40CD-A2E7-CCB6C8DED14A}"/>
    <cellStyle name="Normal 4 3 3 2 2 3 3 5" xfId="5645" xr:uid="{5725BF37-728E-455C-8052-165957B36E4F}"/>
    <cellStyle name="Normal 4 3 3 2 2 3 4" xfId="5646" xr:uid="{E37EFB92-4E4F-4A63-B068-435372BF319D}"/>
    <cellStyle name="Normal 4 3 3 2 2 3 4 2" xfId="5647" xr:uid="{EC5B3156-35F8-40B0-83B4-177D63B95C2C}"/>
    <cellStyle name="Normal 4 3 3 2 2 3 4 3" xfId="5648" xr:uid="{8B1D8976-A187-4DDD-90D2-7FBE25887C38}"/>
    <cellStyle name="Normal 4 3 3 2 2 3 5" xfId="5649" xr:uid="{DA1F93B6-9CEE-4912-B6EE-B9C40CE8E671}"/>
    <cellStyle name="Normal 4 3 3 2 2 3 6" xfId="5650" xr:uid="{D76377DE-80D3-4795-9AB4-991126D60E9C}"/>
    <cellStyle name="Normal 4 3 3 2 2 3 7" xfId="5651" xr:uid="{97EACB45-21D3-4862-9241-EC96F50DB5E9}"/>
    <cellStyle name="Normal 4 3 3 2 2 4" xfId="5652" xr:uid="{D9CE190C-D235-48EB-846F-1537E00E66EB}"/>
    <cellStyle name="Normal 4 3 3 2 2 4 2" xfId="5653" xr:uid="{F875E3F6-842B-49FC-87F1-187CB05B1C12}"/>
    <cellStyle name="Normal 4 3 3 2 2 4 2 2" xfId="5654" xr:uid="{0929E34E-43F4-4DAA-98EE-142C0923E1F8}"/>
    <cellStyle name="Normal 4 3 3 2 2 4 2 3" xfId="5655" xr:uid="{1FC3099E-76C8-47FC-B780-5917D517EA9B}"/>
    <cellStyle name="Normal 4 3 3 2 2 4 3" xfId="5656" xr:uid="{D2793AF2-7458-48A2-A3CD-5C6A5345FCCF}"/>
    <cellStyle name="Normal 4 3 3 2 2 4 4" xfId="5657" xr:uid="{F4CB5C43-7F29-404C-8C5C-D48034353E0D}"/>
    <cellStyle name="Normal 4 3 3 2 2 4 5" xfId="5658" xr:uid="{7D194284-1D0D-47EE-B815-A423F00BF397}"/>
    <cellStyle name="Normal 4 3 3 2 2 5" xfId="5659" xr:uid="{2BA555E6-1D2B-4B92-8A81-CBB6B71BA547}"/>
    <cellStyle name="Normal 4 3 3 2 2 5 2" xfId="5660" xr:uid="{ABAD1A1F-88C1-43C2-BCCD-3A5A25F427A9}"/>
    <cellStyle name="Normal 4 3 3 2 2 5 2 2" xfId="5661" xr:uid="{A7FDB85B-EEE1-460D-BA3D-7B6EB65FA524}"/>
    <cellStyle name="Normal 4 3 3 2 2 5 2 3" xfId="5662" xr:uid="{6A41AC59-E282-4186-B683-02AA441633E6}"/>
    <cellStyle name="Normal 4 3 3 2 2 5 3" xfId="5663" xr:uid="{15222AF2-0588-47CF-A6A9-4ED1B67F3D39}"/>
    <cellStyle name="Normal 4 3 3 2 2 5 4" xfId="5664" xr:uid="{ADEC48E2-8549-4BF9-96C9-36B16EBE3CAA}"/>
    <cellStyle name="Normal 4 3 3 2 2 5 5" xfId="5665" xr:uid="{8A63366D-4DFD-48CC-AC8C-6ECF54B5DC06}"/>
    <cellStyle name="Normal 4 3 3 2 2 6" xfId="5666" xr:uid="{40CDD821-7356-407F-88DB-F7B8E69461E4}"/>
    <cellStyle name="Normal 4 3 3 2 2 6 2" xfId="5667" xr:uid="{EF366A1B-59AF-4590-9193-FD6EAFA40A54}"/>
    <cellStyle name="Normal 4 3 3 2 2 6 3" xfId="5668" xr:uid="{0F839D66-3863-4F12-AD72-265A74BB772D}"/>
    <cellStyle name="Normal 4 3 3 2 2 7" xfId="5669" xr:uid="{A8576AA5-789A-430B-9806-2106FF171D9B}"/>
    <cellStyle name="Normal 4 3 3 2 2 8" xfId="5670" xr:uid="{F69CAEC6-8303-424C-A025-B786A67B428E}"/>
    <cellStyle name="Normal 4 3 3 2 2 9" xfId="5671" xr:uid="{6DD96BB9-F40D-445D-B2C0-0DEE8CAFD5B1}"/>
    <cellStyle name="Normal 4 3 3 2 3" xfId="5672" xr:uid="{CB07440F-8FBB-4F06-B97D-9B9D5B01AD07}"/>
    <cellStyle name="Normal 4 3 3 2 3 2" xfId="5673" xr:uid="{51329069-A417-41E5-90F8-B2D9BA4778F1}"/>
    <cellStyle name="Normal 4 3 3 2 3 2 2" xfId="5674" xr:uid="{E8F46F24-D658-49A2-9643-6BDA7AD72997}"/>
    <cellStyle name="Normal 4 3 3 2 3 2 2 2" xfId="5675" xr:uid="{FBD6999B-0856-48F6-A6FE-FA13818BCF07}"/>
    <cellStyle name="Normal 4 3 3 2 3 2 2 2 2" xfId="5676" xr:uid="{77464931-464A-4802-ADB6-7EB1AD1C39D9}"/>
    <cellStyle name="Normal 4 3 3 2 3 2 2 2 2 2" xfId="5677" xr:uid="{7C26C3B8-D86E-4151-9C08-91BBD654785A}"/>
    <cellStyle name="Normal 4 3 3 2 3 2 2 2 2 3" xfId="5678" xr:uid="{A045E04B-0FD4-4B5F-8C16-A687694138F7}"/>
    <cellStyle name="Normal 4 3 3 2 3 2 2 2 3" xfId="5679" xr:uid="{C356A88F-D9E4-4C0D-81B4-D346C3B9D122}"/>
    <cellStyle name="Normal 4 3 3 2 3 2 2 2 4" xfId="5680" xr:uid="{99B76F25-A601-47CE-B22B-593AF454EDD6}"/>
    <cellStyle name="Normal 4 3 3 2 3 2 2 2 5" xfId="5681" xr:uid="{B6F96FC8-3CA1-4F52-93A7-C452F0FD2BFF}"/>
    <cellStyle name="Normal 4 3 3 2 3 2 2 3" xfId="5682" xr:uid="{114949BD-9FF3-4D9B-AD4E-E505204EABDA}"/>
    <cellStyle name="Normal 4 3 3 2 3 2 2 3 2" xfId="5683" xr:uid="{0220BD01-4508-43D1-884E-E76BAE18EF73}"/>
    <cellStyle name="Normal 4 3 3 2 3 2 2 3 2 2" xfId="5684" xr:uid="{C83D0EB1-A6F7-4814-A067-43BE5788EF8E}"/>
    <cellStyle name="Normal 4 3 3 2 3 2 2 3 2 3" xfId="5685" xr:uid="{0EB52009-61B9-448A-9AE2-7B19645A1D4C}"/>
    <cellStyle name="Normal 4 3 3 2 3 2 2 3 3" xfId="5686" xr:uid="{8E09D0A3-D812-47F9-A9B5-38E01FC09196}"/>
    <cellStyle name="Normal 4 3 3 2 3 2 2 3 4" xfId="5687" xr:uid="{37819F41-B9A0-4987-BB04-4604CDC3F691}"/>
    <cellStyle name="Normal 4 3 3 2 3 2 2 3 5" xfId="5688" xr:uid="{09552154-6718-40F0-9A38-10FEDA6DDC46}"/>
    <cellStyle name="Normal 4 3 3 2 3 2 2 4" xfId="5689" xr:uid="{E660CE31-C034-4931-89A9-6928DC4602BE}"/>
    <cellStyle name="Normal 4 3 3 2 3 2 2 4 2" xfId="5690" xr:uid="{EE085F02-F8C0-41A5-8838-361690FB5C00}"/>
    <cellStyle name="Normal 4 3 3 2 3 2 2 4 3" xfId="5691" xr:uid="{6F8EA86A-F7B1-471D-9248-C26B82CF00E6}"/>
    <cellStyle name="Normal 4 3 3 2 3 2 2 5" xfId="5692" xr:uid="{ABB0C152-68D1-4EF0-B527-8BA60CCAD663}"/>
    <cellStyle name="Normal 4 3 3 2 3 2 2 6" xfId="5693" xr:uid="{8CCED102-52D5-4B33-9402-A9A4A80B9DE8}"/>
    <cellStyle name="Normal 4 3 3 2 3 2 2 7" xfId="5694" xr:uid="{4D8DA35C-D329-4D23-9D6A-15E8A79F31B1}"/>
    <cellStyle name="Normal 4 3 3 2 3 2 3" xfId="5695" xr:uid="{5EA81DB6-C11F-4E63-AA95-78E76BAC8795}"/>
    <cellStyle name="Normal 4 3 3 2 3 2 3 2" xfId="5696" xr:uid="{35D11FBB-F46F-44FC-A7B2-8C5F2C2F90A0}"/>
    <cellStyle name="Normal 4 3 3 2 3 2 3 2 2" xfId="5697" xr:uid="{C39AFF14-B5E3-4387-A993-B99825BD928A}"/>
    <cellStyle name="Normal 4 3 3 2 3 2 3 2 3" xfId="5698" xr:uid="{D0262398-9153-4AE6-86BF-934A71BA3299}"/>
    <cellStyle name="Normal 4 3 3 2 3 2 3 3" xfId="5699" xr:uid="{13D882EC-CD9C-442C-9EFD-115CCB429327}"/>
    <cellStyle name="Normal 4 3 3 2 3 2 3 4" xfId="5700" xr:uid="{272CDA76-0D6E-4DD2-9E35-0A10CF10D3E0}"/>
    <cellStyle name="Normal 4 3 3 2 3 2 3 5" xfId="5701" xr:uid="{E97F6F1F-398C-4061-8A56-1BB43C5852B0}"/>
    <cellStyle name="Normal 4 3 3 2 3 2 4" xfId="5702" xr:uid="{2527F8EE-1090-44E2-913B-39767CCE0AF5}"/>
    <cellStyle name="Normal 4 3 3 2 3 2 4 2" xfId="5703" xr:uid="{D6F4D510-F1D7-4B55-856F-23B8FD50DF3B}"/>
    <cellStyle name="Normal 4 3 3 2 3 2 4 2 2" xfId="5704" xr:uid="{0C4AC458-5559-4907-AB5C-DF8841B275C5}"/>
    <cellStyle name="Normal 4 3 3 2 3 2 4 2 3" xfId="5705" xr:uid="{5E61D081-9B87-4812-A52F-46EA7BBE4899}"/>
    <cellStyle name="Normal 4 3 3 2 3 2 4 3" xfId="5706" xr:uid="{E7BE7943-7DB2-4F40-A08B-5CC7E22752FE}"/>
    <cellStyle name="Normal 4 3 3 2 3 2 4 4" xfId="5707" xr:uid="{A1B05C3B-B0A8-4913-B87A-E63CF4D9756B}"/>
    <cellStyle name="Normal 4 3 3 2 3 2 4 5" xfId="5708" xr:uid="{27769A4E-2F4A-4BE8-A179-CBD66FEB1DB5}"/>
    <cellStyle name="Normal 4 3 3 2 3 2 5" xfId="5709" xr:uid="{10240EA2-F980-4921-AF21-5CA78F2EDE99}"/>
    <cellStyle name="Normal 4 3 3 2 3 2 5 2" xfId="5710" xr:uid="{65E33CEC-D797-42AD-B2D7-702BEE77A020}"/>
    <cellStyle name="Normal 4 3 3 2 3 2 5 3" xfId="5711" xr:uid="{3F791E7A-68AC-4644-B8B9-FFBBAC9763E7}"/>
    <cellStyle name="Normal 4 3 3 2 3 2 6" xfId="5712" xr:uid="{E9AA1628-FAA8-49D7-B776-BAC90A777756}"/>
    <cellStyle name="Normal 4 3 3 2 3 2 7" xfId="5713" xr:uid="{523155F7-7208-4210-90FF-868818AA2ABA}"/>
    <cellStyle name="Normal 4 3 3 2 3 2 8" xfId="5714" xr:uid="{583694F3-2110-4951-8D15-E5690424D224}"/>
    <cellStyle name="Normal 4 3 3 2 3 3" xfId="5715" xr:uid="{0732785E-893F-4920-A741-FC190EFE7DA6}"/>
    <cellStyle name="Normal 4 3 3 2 3 3 2" xfId="5716" xr:uid="{70CA781E-A35E-47F3-B670-E60F7D0A6432}"/>
    <cellStyle name="Normal 4 3 3 2 3 3 2 2" xfId="5717" xr:uid="{C3DE31A2-A765-400E-8FC7-7C3761DC3040}"/>
    <cellStyle name="Normal 4 3 3 2 3 3 2 2 2" xfId="5718" xr:uid="{5736D949-3A7A-4596-845D-3732FEE1A30B}"/>
    <cellStyle name="Normal 4 3 3 2 3 3 2 2 3" xfId="5719" xr:uid="{BCB0BBB0-A99E-47BC-992D-382BC9E4BAF7}"/>
    <cellStyle name="Normal 4 3 3 2 3 3 2 3" xfId="5720" xr:uid="{4EE9EC52-9318-4D2D-94C7-66F3AC2DD45B}"/>
    <cellStyle name="Normal 4 3 3 2 3 3 2 4" xfId="5721" xr:uid="{B1DF7EAC-DA1A-4A26-A7FA-BAD186071B4D}"/>
    <cellStyle name="Normal 4 3 3 2 3 3 2 5" xfId="5722" xr:uid="{4F5B2A85-1FD9-4D73-943B-DFCEBE04C44E}"/>
    <cellStyle name="Normal 4 3 3 2 3 3 3" xfId="5723" xr:uid="{13A2E04E-647F-44CF-B5A0-981FD2D761CD}"/>
    <cellStyle name="Normal 4 3 3 2 3 3 3 2" xfId="5724" xr:uid="{B1993998-F0E3-4DC9-A9E9-DDC7191EFE86}"/>
    <cellStyle name="Normal 4 3 3 2 3 3 3 2 2" xfId="5725" xr:uid="{F041FB29-0BD6-442A-A943-F1F9499D6FFE}"/>
    <cellStyle name="Normal 4 3 3 2 3 3 3 2 3" xfId="5726" xr:uid="{D9D456C0-E018-41BE-BCF1-CA4D14202176}"/>
    <cellStyle name="Normal 4 3 3 2 3 3 3 3" xfId="5727" xr:uid="{7520CBC5-F955-4CBB-AEF9-4E4FF2B1C3A6}"/>
    <cellStyle name="Normal 4 3 3 2 3 3 3 4" xfId="5728" xr:uid="{FED6A786-2B0F-48C4-B1BE-A6D3BBE36F17}"/>
    <cellStyle name="Normal 4 3 3 2 3 3 3 5" xfId="5729" xr:uid="{F774DB8B-EC82-40D1-A540-F68A4AE724B2}"/>
    <cellStyle name="Normal 4 3 3 2 3 3 4" xfId="5730" xr:uid="{167C0349-566E-4AEA-BD04-FFA14B2C150E}"/>
    <cellStyle name="Normal 4 3 3 2 3 3 4 2" xfId="5731" xr:uid="{9390A192-7839-4402-BCEA-59F5B5AFCFB7}"/>
    <cellStyle name="Normal 4 3 3 2 3 3 4 3" xfId="5732" xr:uid="{4B2BFB94-4610-432A-8D90-9D4C68FF5AF3}"/>
    <cellStyle name="Normal 4 3 3 2 3 3 5" xfId="5733" xr:uid="{86C26992-39E5-4E37-9DE2-73D73D96CFC0}"/>
    <cellStyle name="Normal 4 3 3 2 3 3 6" xfId="5734" xr:uid="{642C9359-58CB-4113-B773-EDC8FA001B38}"/>
    <cellStyle name="Normal 4 3 3 2 3 3 7" xfId="5735" xr:uid="{19DCBEB1-0DF7-49B7-9FEF-D9019EB25FDA}"/>
    <cellStyle name="Normal 4 3 3 2 3 4" xfId="5736" xr:uid="{2D58E44E-0F01-4DB0-8309-E45560826292}"/>
    <cellStyle name="Normal 4 3 3 2 3 4 2" xfId="5737" xr:uid="{678539ED-E31E-449F-A7B6-091F32DEB96F}"/>
    <cellStyle name="Normal 4 3 3 2 3 4 2 2" xfId="5738" xr:uid="{3967C7FF-C1C2-46EF-AC17-2506A928F3B0}"/>
    <cellStyle name="Normal 4 3 3 2 3 4 2 3" xfId="5739" xr:uid="{D8320834-B4D1-4A10-9A0E-6E4A29107BEE}"/>
    <cellStyle name="Normal 4 3 3 2 3 4 3" xfId="5740" xr:uid="{9C29A2F3-277E-46FA-B312-19216BC8F61D}"/>
    <cellStyle name="Normal 4 3 3 2 3 4 4" xfId="5741" xr:uid="{346F110D-F1CB-413E-9976-955D3FABDFC0}"/>
    <cellStyle name="Normal 4 3 3 2 3 4 5" xfId="5742" xr:uid="{B0C705BC-7877-4C5A-953B-53DD687B0357}"/>
    <cellStyle name="Normal 4 3 3 2 3 5" xfId="5743" xr:uid="{5CBE751D-C625-4AB0-9CCD-F2CC06518A4B}"/>
    <cellStyle name="Normal 4 3 3 2 3 5 2" xfId="5744" xr:uid="{CFA7668B-25E3-4C4D-B404-D54D4F6833CC}"/>
    <cellStyle name="Normal 4 3 3 2 3 5 2 2" xfId="5745" xr:uid="{5F6A469B-83AA-405D-8B7F-866B55821DD8}"/>
    <cellStyle name="Normal 4 3 3 2 3 5 2 3" xfId="5746" xr:uid="{FFADADC1-1D02-4693-9C85-ADB7988D3648}"/>
    <cellStyle name="Normal 4 3 3 2 3 5 3" xfId="5747" xr:uid="{E27948C2-2DC8-4336-9F59-F34E07892CE9}"/>
    <cellStyle name="Normal 4 3 3 2 3 5 4" xfId="5748" xr:uid="{E793EC15-FB54-4D09-80AB-F67332FE7B0F}"/>
    <cellStyle name="Normal 4 3 3 2 3 5 5" xfId="5749" xr:uid="{5D5997DD-517A-4F52-BB46-0465E707AC65}"/>
    <cellStyle name="Normal 4 3 3 2 3 6" xfId="5750" xr:uid="{BED71DC8-E8C8-45D5-8F69-6F060757EA91}"/>
    <cellStyle name="Normal 4 3 3 2 3 6 2" xfId="5751" xr:uid="{1DBDDD1F-8936-4184-AF7F-2AB7F8048689}"/>
    <cellStyle name="Normal 4 3 3 2 3 6 3" xfId="5752" xr:uid="{6D385B83-585A-43A1-A1DA-1DB6245A087B}"/>
    <cellStyle name="Normal 4 3 3 2 3 7" xfId="5753" xr:uid="{DD0F05C0-B30E-4F8E-883C-A994393BECE1}"/>
    <cellStyle name="Normal 4 3 3 2 3 8" xfId="5754" xr:uid="{9D00031C-0C91-44D2-8899-0945238A4A5C}"/>
    <cellStyle name="Normal 4 3 3 2 3 9" xfId="5755" xr:uid="{FB47C782-3EC9-4FB6-AAA6-B78DE5D19621}"/>
    <cellStyle name="Normal 4 3 3 2 4" xfId="5756" xr:uid="{A6EEDA50-F841-4EAD-BC71-B9337DA7B7E6}"/>
    <cellStyle name="Normal 4 3 3 2 4 2" xfId="5757" xr:uid="{986F9A52-A983-4689-9FA6-D001CAD3D8BA}"/>
    <cellStyle name="Normal 4 3 3 2 4 2 2" xfId="5758" xr:uid="{B2F6EAD9-D0CB-4AD5-A166-7AA97A42D3C7}"/>
    <cellStyle name="Normal 4 3 3 2 4 2 2 2" xfId="5759" xr:uid="{D2837233-A1CE-40A7-B01B-C622953CC88C}"/>
    <cellStyle name="Normal 4 3 3 2 4 2 2 2 2" xfId="5760" xr:uid="{30CDF4A4-D95E-4B43-9675-B52445A6CE53}"/>
    <cellStyle name="Normal 4 3 3 2 4 2 2 2 2 2" xfId="5761" xr:uid="{9665653A-1E0E-4070-862F-0856E83B11FF}"/>
    <cellStyle name="Normal 4 3 3 2 4 2 2 2 2 3" xfId="5762" xr:uid="{9F2CB517-E209-4EC5-94FE-80BD68C1391C}"/>
    <cellStyle name="Normal 4 3 3 2 4 2 2 2 3" xfId="5763" xr:uid="{2F6F3A4B-87E0-4790-B84D-F780245713BB}"/>
    <cellStyle name="Normal 4 3 3 2 4 2 2 2 4" xfId="5764" xr:uid="{2DB5B15E-365E-46A9-9045-A0DCC5BEBC86}"/>
    <cellStyle name="Normal 4 3 3 2 4 2 2 2 5" xfId="5765" xr:uid="{2A1E3677-BD35-49EC-9ACE-8398B967CE95}"/>
    <cellStyle name="Normal 4 3 3 2 4 2 2 3" xfId="5766" xr:uid="{EC648323-1847-4C83-A14B-3845D4C7847F}"/>
    <cellStyle name="Normal 4 3 3 2 4 2 2 3 2" xfId="5767" xr:uid="{35A25A15-D423-4BD2-97DD-FD91E4EB0299}"/>
    <cellStyle name="Normal 4 3 3 2 4 2 2 3 2 2" xfId="5768" xr:uid="{E8F083B6-5251-43BF-AB82-34A847191B8B}"/>
    <cellStyle name="Normal 4 3 3 2 4 2 2 3 2 3" xfId="5769" xr:uid="{B91740AB-3124-4AA3-8E2F-9CB1E4046887}"/>
    <cellStyle name="Normal 4 3 3 2 4 2 2 3 3" xfId="5770" xr:uid="{A1457131-E040-4DED-A062-11E7327ED44E}"/>
    <cellStyle name="Normal 4 3 3 2 4 2 2 3 4" xfId="5771" xr:uid="{A42194E6-E786-4499-B5A2-2152DFE7706B}"/>
    <cellStyle name="Normal 4 3 3 2 4 2 2 3 5" xfId="5772" xr:uid="{4EDD118F-E158-4E60-ABE2-200B1471DEF5}"/>
    <cellStyle name="Normal 4 3 3 2 4 2 2 4" xfId="5773" xr:uid="{5CECF6BF-6DD5-497A-9773-F85D624F0CA0}"/>
    <cellStyle name="Normal 4 3 3 2 4 2 2 4 2" xfId="5774" xr:uid="{4FAD281C-8544-43BC-95FC-FECF338044EF}"/>
    <cellStyle name="Normal 4 3 3 2 4 2 2 4 3" xfId="5775" xr:uid="{B814232C-53DB-4D84-B85E-5DFAD98994FF}"/>
    <cellStyle name="Normal 4 3 3 2 4 2 2 5" xfId="5776" xr:uid="{33D431BC-2A59-44DA-8964-007D2D94733B}"/>
    <cellStyle name="Normal 4 3 3 2 4 2 2 6" xfId="5777" xr:uid="{56B707AE-3609-4357-BD36-40AAB4BCEA86}"/>
    <cellStyle name="Normal 4 3 3 2 4 2 2 7" xfId="5778" xr:uid="{ECC41815-4C7F-462D-908C-CD4881CFF99A}"/>
    <cellStyle name="Normal 4 3 3 2 4 2 3" xfId="5779" xr:uid="{D5B613B1-2D5E-4A02-B73A-1A527B8B30B2}"/>
    <cellStyle name="Normal 4 3 3 2 4 2 3 2" xfId="5780" xr:uid="{176D90D9-7E9C-40D5-9D4F-9CF191C7B57E}"/>
    <cellStyle name="Normal 4 3 3 2 4 2 3 2 2" xfId="5781" xr:uid="{AC4E466F-3E89-4553-8BD7-5C5232E59C47}"/>
    <cellStyle name="Normal 4 3 3 2 4 2 3 2 3" xfId="5782" xr:uid="{E21854FE-FB51-4FE5-9CB9-5531C05059C4}"/>
    <cellStyle name="Normal 4 3 3 2 4 2 3 3" xfId="5783" xr:uid="{3A3EAB69-F0BC-4828-AA21-3932144D2D50}"/>
    <cellStyle name="Normal 4 3 3 2 4 2 3 4" xfId="5784" xr:uid="{FC18F6CF-0D30-4153-862A-FE0C5588B69F}"/>
    <cellStyle name="Normal 4 3 3 2 4 2 3 5" xfId="5785" xr:uid="{37697427-7BA1-4608-8A8F-5E2A960CAB01}"/>
    <cellStyle name="Normal 4 3 3 2 4 2 4" xfId="5786" xr:uid="{8B8E6501-A4DC-4068-A8B8-3999065DB474}"/>
    <cellStyle name="Normal 4 3 3 2 4 2 4 2" xfId="5787" xr:uid="{27B7C63A-9D3D-46D9-98A3-F6467B877C3C}"/>
    <cellStyle name="Normal 4 3 3 2 4 2 4 2 2" xfId="5788" xr:uid="{E30469DF-2783-49DE-8C96-0E481394FDA7}"/>
    <cellStyle name="Normal 4 3 3 2 4 2 4 2 3" xfId="5789" xr:uid="{DFAE64E0-0586-4E88-9105-F6C0A5B35BAE}"/>
    <cellStyle name="Normal 4 3 3 2 4 2 4 3" xfId="5790" xr:uid="{5B0328BE-B676-4AA6-B0D1-A33B22B351D2}"/>
    <cellStyle name="Normal 4 3 3 2 4 2 4 4" xfId="5791" xr:uid="{FA6FA633-3D02-4D9B-A21D-7BB46374733A}"/>
    <cellStyle name="Normal 4 3 3 2 4 2 4 5" xfId="5792" xr:uid="{75ACF48A-3BE9-421B-A649-60017122CCE9}"/>
    <cellStyle name="Normal 4 3 3 2 4 2 5" xfId="5793" xr:uid="{795B68DC-F663-47FA-ABEE-742CC858F339}"/>
    <cellStyle name="Normal 4 3 3 2 4 2 5 2" xfId="5794" xr:uid="{D180FCFB-F2D0-4E4C-8569-E6DA2E2E6669}"/>
    <cellStyle name="Normal 4 3 3 2 4 2 5 3" xfId="5795" xr:uid="{155A79F9-E58B-445F-941F-8D37689B2553}"/>
    <cellStyle name="Normal 4 3 3 2 4 2 6" xfId="5796" xr:uid="{D2ABCDC1-167D-4514-A1D4-84DD87F0E125}"/>
    <cellStyle name="Normal 4 3 3 2 4 2 7" xfId="5797" xr:uid="{934F7BD2-449C-4A69-838D-5EBCE17A21BF}"/>
    <cellStyle name="Normal 4 3 3 2 4 2 8" xfId="5798" xr:uid="{B7D0774B-7ACB-40F0-BBCB-A39134F6F74E}"/>
    <cellStyle name="Normal 4 3 3 2 4 3" xfId="5799" xr:uid="{49358291-D087-4BCB-8D48-21F6AC2E118D}"/>
    <cellStyle name="Normal 4 3 3 2 4 3 2" xfId="5800" xr:uid="{E67E2CF7-B316-4C49-8540-F12260EE7168}"/>
    <cellStyle name="Normal 4 3 3 2 4 3 2 2" xfId="5801" xr:uid="{97B5CEAA-FFC6-4C19-A2F9-4603D232759C}"/>
    <cellStyle name="Normal 4 3 3 2 4 3 2 2 2" xfId="5802" xr:uid="{81FA947F-DCB6-408C-B8E5-21979C42F891}"/>
    <cellStyle name="Normal 4 3 3 2 4 3 2 2 3" xfId="5803" xr:uid="{0CA5200A-9D34-46A6-B806-0ADFEEAB7E6B}"/>
    <cellStyle name="Normal 4 3 3 2 4 3 2 3" xfId="5804" xr:uid="{72CEE18D-0DFD-4256-94DA-A4879F0198EA}"/>
    <cellStyle name="Normal 4 3 3 2 4 3 2 4" xfId="5805" xr:uid="{D06F2FB2-0EC7-4F84-9CEE-6A1FE2752D7F}"/>
    <cellStyle name="Normal 4 3 3 2 4 3 2 5" xfId="5806" xr:uid="{973FE268-451E-4444-A079-9CA4BF2AE563}"/>
    <cellStyle name="Normal 4 3 3 2 4 3 3" xfId="5807" xr:uid="{25C40627-949B-4538-9FAA-83764C5E3CBA}"/>
    <cellStyle name="Normal 4 3 3 2 4 3 3 2" xfId="5808" xr:uid="{8502BE60-0072-4A16-A942-EB685DAFFCC1}"/>
    <cellStyle name="Normal 4 3 3 2 4 3 3 2 2" xfId="5809" xr:uid="{FAAC9097-7AF9-4A0A-A687-3413C914882E}"/>
    <cellStyle name="Normal 4 3 3 2 4 3 3 2 3" xfId="5810" xr:uid="{F040C26D-68C9-4638-B49F-EE70993B6B94}"/>
    <cellStyle name="Normal 4 3 3 2 4 3 3 3" xfId="5811" xr:uid="{564A1B7A-A1E2-492D-AEC1-B6AE5EEA8707}"/>
    <cellStyle name="Normal 4 3 3 2 4 3 3 4" xfId="5812" xr:uid="{259501D1-17FA-497B-B782-3FCFFC9D9997}"/>
    <cellStyle name="Normal 4 3 3 2 4 3 3 5" xfId="5813" xr:uid="{E9E16EE1-EC51-4C3E-90AA-DFAB4DEABC00}"/>
    <cellStyle name="Normal 4 3 3 2 4 3 4" xfId="5814" xr:uid="{A32239F6-C50F-4ED4-BBEE-EEA157189536}"/>
    <cellStyle name="Normal 4 3 3 2 4 3 4 2" xfId="5815" xr:uid="{F775872A-B4EA-4A0D-B98F-357C1D8B26B1}"/>
    <cellStyle name="Normal 4 3 3 2 4 3 4 3" xfId="5816" xr:uid="{A4A3AFB8-B399-49D7-B499-6E06A13B68D9}"/>
    <cellStyle name="Normal 4 3 3 2 4 3 5" xfId="5817" xr:uid="{55B0DE8F-AE38-46F3-9C5E-7C68E79C1672}"/>
    <cellStyle name="Normal 4 3 3 2 4 3 6" xfId="5818" xr:uid="{FD929AD7-26D0-41B8-9EC0-04363097B529}"/>
    <cellStyle name="Normal 4 3 3 2 4 3 7" xfId="5819" xr:uid="{90B3BB18-ED66-4197-BFF4-6739142EA702}"/>
    <cellStyle name="Normal 4 3 3 2 4 4" xfId="5820" xr:uid="{42F496EB-F580-4681-AE81-159D296FB602}"/>
    <cellStyle name="Normal 4 3 3 2 4 4 2" xfId="5821" xr:uid="{779D86F6-F1D2-49CD-B8FC-004658F9F005}"/>
    <cellStyle name="Normal 4 3 3 2 4 4 2 2" xfId="5822" xr:uid="{126A12CF-8C4F-45C0-AD93-8DF1287F9BC4}"/>
    <cellStyle name="Normal 4 3 3 2 4 4 2 3" xfId="5823" xr:uid="{13BB47D6-01E4-400E-8F60-36A07B448BE9}"/>
    <cellStyle name="Normal 4 3 3 2 4 4 3" xfId="5824" xr:uid="{16F9A9CF-B864-405B-B9C4-7BB8F7A836B0}"/>
    <cellStyle name="Normal 4 3 3 2 4 4 4" xfId="5825" xr:uid="{329F5BCE-3D81-4E16-9282-27CA5D16DFD8}"/>
    <cellStyle name="Normal 4 3 3 2 4 4 5" xfId="5826" xr:uid="{4C3F2619-1E07-40C2-82D4-FA8643D3C89B}"/>
    <cellStyle name="Normal 4 3 3 2 4 5" xfId="5827" xr:uid="{814215BE-D716-4A5D-ABD2-5BD3B0F8EA8E}"/>
    <cellStyle name="Normal 4 3 3 2 4 5 2" xfId="5828" xr:uid="{CD42F2D0-7972-4B02-8D69-DF2D2D57695F}"/>
    <cellStyle name="Normal 4 3 3 2 4 5 2 2" xfId="5829" xr:uid="{C46D512D-A6A5-4D39-992B-2C55CD20B625}"/>
    <cellStyle name="Normal 4 3 3 2 4 5 2 3" xfId="5830" xr:uid="{F29265EE-FAFB-4553-A081-4E366DDBD3A2}"/>
    <cellStyle name="Normal 4 3 3 2 4 5 3" xfId="5831" xr:uid="{F336E52C-9F5F-4A73-B064-DDD6D284F560}"/>
    <cellStyle name="Normal 4 3 3 2 4 5 4" xfId="5832" xr:uid="{3440B91C-8F0B-4157-9879-5E2868AE5092}"/>
    <cellStyle name="Normal 4 3 3 2 4 5 5" xfId="5833" xr:uid="{EC527A03-3508-4F7F-AE89-3CF0B017FF50}"/>
    <cellStyle name="Normal 4 3 3 2 4 6" xfId="5834" xr:uid="{C669FD6A-5DE2-4D83-8CBA-55083C518B1D}"/>
    <cellStyle name="Normal 4 3 3 2 4 6 2" xfId="5835" xr:uid="{09CEF4B6-5C12-45BA-B5AC-39D7FCB5945E}"/>
    <cellStyle name="Normal 4 3 3 2 4 6 3" xfId="5836" xr:uid="{15EF061A-D31C-42E5-A9D6-AC4704EB7C90}"/>
    <cellStyle name="Normal 4 3 3 2 4 7" xfId="5837" xr:uid="{0386C10D-2404-45C7-BEC1-AF0287B0CE6C}"/>
    <cellStyle name="Normal 4 3 3 2 4 8" xfId="5838" xr:uid="{0AF8CF4F-0D45-4F2A-8F34-B2253F8B0525}"/>
    <cellStyle name="Normal 4 3 3 2 4 9" xfId="5839" xr:uid="{B2391ED1-7859-44E0-AE13-EB2B17687EFB}"/>
    <cellStyle name="Normal 4 3 3 2 5" xfId="5840" xr:uid="{16143F6D-F55D-4004-ABC1-E4F5B5FC73F6}"/>
    <cellStyle name="Normal 4 3 3 2 5 2" xfId="5841" xr:uid="{504D28FB-98ED-47FD-A062-80CF51B8C2E7}"/>
    <cellStyle name="Normal 4 3 3 2 5 2 2" xfId="5842" xr:uid="{38B45CE5-025A-49C1-B5AA-C480BC0F22A4}"/>
    <cellStyle name="Normal 4 3 3 2 5 2 2 2" xfId="5843" xr:uid="{5A6FAB1C-1A2A-423A-917A-1598D1264C43}"/>
    <cellStyle name="Normal 4 3 3 2 5 2 2 2 2" xfId="5844" xr:uid="{57AF9FE8-B865-4613-B1AB-DBC656ED64C0}"/>
    <cellStyle name="Normal 4 3 3 2 5 2 2 2 3" xfId="5845" xr:uid="{6AC75933-C44E-4D84-9A2D-CB4ABB683099}"/>
    <cellStyle name="Normal 4 3 3 2 5 2 2 3" xfId="5846" xr:uid="{EBCAA2CB-D028-4BE9-A7F7-1C043BE08CCE}"/>
    <cellStyle name="Normal 4 3 3 2 5 2 2 4" xfId="5847" xr:uid="{9AA75B2B-F698-4659-8C2F-3E01250CC06F}"/>
    <cellStyle name="Normal 4 3 3 2 5 2 2 5" xfId="5848" xr:uid="{743C7F9F-7A79-402A-8E8E-F59AF65D2479}"/>
    <cellStyle name="Normal 4 3 3 2 5 2 3" xfId="5849" xr:uid="{ECFE563F-C096-46D1-B1B0-5C94E4B4D529}"/>
    <cellStyle name="Normal 4 3 3 2 5 2 3 2" xfId="5850" xr:uid="{6749D825-B600-423B-87E1-288A998F44D4}"/>
    <cellStyle name="Normal 4 3 3 2 5 2 3 2 2" xfId="5851" xr:uid="{7D8106CE-AD31-41AB-8247-92B23D950494}"/>
    <cellStyle name="Normal 4 3 3 2 5 2 3 2 3" xfId="5852" xr:uid="{8C4EAE12-3401-4D44-954D-71917011A160}"/>
    <cellStyle name="Normal 4 3 3 2 5 2 3 3" xfId="5853" xr:uid="{3893F3C3-FDDC-4F95-BF3C-2E66A0DF1596}"/>
    <cellStyle name="Normal 4 3 3 2 5 2 3 4" xfId="5854" xr:uid="{0A87667E-7420-49BA-9C24-2E5A827E009A}"/>
    <cellStyle name="Normal 4 3 3 2 5 2 3 5" xfId="5855" xr:uid="{5D9E49F8-5084-4EF9-8C67-4385B0B20391}"/>
    <cellStyle name="Normal 4 3 3 2 5 2 4" xfId="5856" xr:uid="{55A320EE-E2C4-4B6E-B2D3-D594A1A7B19F}"/>
    <cellStyle name="Normal 4 3 3 2 5 2 4 2" xfId="5857" xr:uid="{418C0C68-11E8-4BF0-9B78-19FC09E3BCCF}"/>
    <cellStyle name="Normal 4 3 3 2 5 2 4 3" xfId="5858" xr:uid="{F9F1D07C-C049-4499-84EA-4E237E7C25CA}"/>
    <cellStyle name="Normal 4 3 3 2 5 2 5" xfId="5859" xr:uid="{4C8E43AF-122B-4DB4-AF1B-A43E6A29B357}"/>
    <cellStyle name="Normal 4 3 3 2 5 2 6" xfId="5860" xr:uid="{DA45BD6E-429D-477F-8853-72C7CDB8A2F1}"/>
    <cellStyle name="Normal 4 3 3 2 5 2 7" xfId="5861" xr:uid="{EDE17DBD-48FB-4935-9AFC-5746F9053DF5}"/>
    <cellStyle name="Normal 4 3 3 2 5 3" xfId="5862" xr:uid="{1D5407D8-A2B5-479D-A843-304D282BAA78}"/>
    <cellStyle name="Normal 4 3 3 2 5 3 2" xfId="5863" xr:uid="{3AD56006-146F-401C-827F-8CB505656FF0}"/>
    <cellStyle name="Normal 4 3 3 2 5 3 2 2" xfId="5864" xr:uid="{461D4A37-7BA2-44ED-B3D7-1034F1BB32BD}"/>
    <cellStyle name="Normal 4 3 3 2 5 3 2 3" xfId="5865" xr:uid="{3FB1E927-3D94-4841-9895-733FB1E6B086}"/>
    <cellStyle name="Normal 4 3 3 2 5 3 3" xfId="5866" xr:uid="{33E24B36-9DC7-4AF8-8374-833465AA19C9}"/>
    <cellStyle name="Normal 4 3 3 2 5 3 4" xfId="5867" xr:uid="{43CF5C85-4997-47CF-A112-25AEBBCEF389}"/>
    <cellStyle name="Normal 4 3 3 2 5 3 5" xfId="5868" xr:uid="{25DF40D2-6101-485A-A0E7-1FAEA8C9CEA2}"/>
    <cellStyle name="Normal 4 3 3 2 5 4" xfId="5869" xr:uid="{AD45E81A-DF95-4C35-BB68-09D0B8C26EF3}"/>
    <cellStyle name="Normal 4 3 3 2 5 4 2" xfId="5870" xr:uid="{6DC9C9E3-2FFA-4229-88A5-EEE570C2C857}"/>
    <cellStyle name="Normal 4 3 3 2 5 4 2 2" xfId="5871" xr:uid="{C9799BFF-1758-4623-AC4B-996C3BFADC20}"/>
    <cellStyle name="Normal 4 3 3 2 5 4 2 3" xfId="5872" xr:uid="{C2C4A673-ACFA-450A-87A7-1F4717C284BB}"/>
    <cellStyle name="Normal 4 3 3 2 5 4 3" xfId="5873" xr:uid="{7A84CBC4-68BB-4830-99EB-C7EA36CD9205}"/>
    <cellStyle name="Normal 4 3 3 2 5 4 4" xfId="5874" xr:uid="{2B4F9BC6-3637-48EA-9D3D-20E78A4DB106}"/>
    <cellStyle name="Normal 4 3 3 2 5 4 5" xfId="5875" xr:uid="{F38CA5E2-6905-4F94-9022-31996419AD3E}"/>
    <cellStyle name="Normal 4 3 3 2 5 5" xfId="5876" xr:uid="{B1EE09BA-09F4-4B5A-85EC-4E994AE236B9}"/>
    <cellStyle name="Normal 4 3 3 2 5 5 2" xfId="5877" xr:uid="{759F5B1E-7558-4F66-809E-D57CDF8FE73B}"/>
    <cellStyle name="Normal 4 3 3 2 5 5 3" xfId="5878" xr:uid="{2C2845A7-7454-42A4-BA47-9CA1EB3F661F}"/>
    <cellStyle name="Normal 4 3 3 2 5 6" xfId="5879" xr:uid="{078F2BBF-DFB9-4052-89ED-F07DF963C6D5}"/>
    <cellStyle name="Normal 4 3 3 2 5 7" xfId="5880" xr:uid="{C907E38F-30DF-4E1B-BE15-B3199863F7D1}"/>
    <cellStyle name="Normal 4 3 3 2 5 8" xfId="5881" xr:uid="{E24ED25C-F05C-4E09-8D10-9D31198975F6}"/>
    <cellStyle name="Normal 4 3 3 2 6" xfId="5882" xr:uid="{491FFC9E-B885-4512-BFDD-FBD627E3235F}"/>
    <cellStyle name="Normal 4 3 3 2 6 2" xfId="5883" xr:uid="{68256B4A-5A4F-4368-B521-45B8D218D228}"/>
    <cellStyle name="Normal 4 3 3 2 6 2 2" xfId="5884" xr:uid="{61642F3D-9E6A-4AF7-8C0A-AF8723177461}"/>
    <cellStyle name="Normal 4 3 3 2 6 2 2 2" xfId="5885" xr:uid="{63B59C0B-82A0-41CD-B7B4-A686F4669575}"/>
    <cellStyle name="Normal 4 3 3 2 6 2 2 3" xfId="5886" xr:uid="{99D5F886-50DA-491B-A4B4-CA6975022B35}"/>
    <cellStyle name="Normal 4 3 3 2 6 2 3" xfId="5887" xr:uid="{F411C602-7CEE-40D4-94C6-34855E0B3ECC}"/>
    <cellStyle name="Normal 4 3 3 2 6 2 4" xfId="5888" xr:uid="{D0E4C4B0-AAF2-41FD-830C-1AB612156CC1}"/>
    <cellStyle name="Normal 4 3 3 2 6 2 5" xfId="5889" xr:uid="{6B26B58F-0E1C-40CD-8755-052DB9CA0C83}"/>
    <cellStyle name="Normal 4 3 3 2 6 3" xfId="5890" xr:uid="{AA6555C3-BB16-435C-82AA-70F98DDC45E4}"/>
    <cellStyle name="Normal 4 3 3 2 6 3 2" xfId="5891" xr:uid="{DEE89EB8-62E4-4389-8766-99F16C07FAE0}"/>
    <cellStyle name="Normal 4 3 3 2 6 3 2 2" xfId="5892" xr:uid="{58BA6928-CD8B-4322-8463-9C53E77BC680}"/>
    <cellStyle name="Normal 4 3 3 2 6 3 2 3" xfId="5893" xr:uid="{3251A9C6-37E0-41D7-A5A8-27DEE885D805}"/>
    <cellStyle name="Normal 4 3 3 2 6 3 3" xfId="5894" xr:uid="{F0051A8B-E7F7-4B18-A444-8EA8CF91EACA}"/>
    <cellStyle name="Normal 4 3 3 2 6 3 4" xfId="5895" xr:uid="{72018117-1520-4951-9D2D-632FE9113D38}"/>
    <cellStyle name="Normal 4 3 3 2 6 3 5" xfId="5896" xr:uid="{D03EE1C5-F573-4C9C-A7D3-9CB460C08B0D}"/>
    <cellStyle name="Normal 4 3 3 2 6 4" xfId="5897" xr:uid="{3493F877-4D2B-4A8F-B7BA-02065592174F}"/>
    <cellStyle name="Normal 4 3 3 2 6 4 2" xfId="5898" xr:uid="{A26DF9F0-5F7B-4AC5-BDE6-2A7588E54E7F}"/>
    <cellStyle name="Normal 4 3 3 2 6 4 3" xfId="5899" xr:uid="{C02BBDFD-1924-4D9B-8A7A-59979AA24FAF}"/>
    <cellStyle name="Normal 4 3 3 2 6 5" xfId="5900" xr:uid="{02994E83-A68C-4F87-ADF3-2E44AFB8BE1C}"/>
    <cellStyle name="Normal 4 3 3 2 6 6" xfId="5901" xr:uid="{D3BC9462-43F3-4EB1-9D90-F9B43CDCCFDD}"/>
    <cellStyle name="Normal 4 3 3 2 6 7" xfId="5902" xr:uid="{82A7DA01-1FEE-497E-A1EA-BDEAFBC38395}"/>
    <cellStyle name="Normal 4 3 3 2 7" xfId="5903" xr:uid="{ADBC65AB-A5EC-462B-BB4D-A19B954C4F18}"/>
    <cellStyle name="Normal 4 3 3 2 7 2" xfId="5904" xr:uid="{49562762-9BE0-442D-9E5C-CB780B68A181}"/>
    <cellStyle name="Normal 4 3 3 2 7 2 2" xfId="5905" xr:uid="{39820034-9E52-491C-B58A-7AD8FB4D4686}"/>
    <cellStyle name="Normal 4 3 3 2 7 2 3" xfId="5906" xr:uid="{72F7EACE-3313-44E9-B432-92C700AE35E1}"/>
    <cellStyle name="Normal 4 3 3 2 7 3" xfId="5907" xr:uid="{4A19B50F-04F7-4558-8B13-AB95C1D36EB7}"/>
    <cellStyle name="Normal 4 3 3 2 7 4" xfId="5908" xr:uid="{A48CAF5D-2BD9-4936-83DC-118C349FD2B9}"/>
    <cellStyle name="Normal 4 3 3 2 7 5" xfId="5909" xr:uid="{CCFB9FF4-1DF7-4A61-A6FA-65AF04D70B91}"/>
    <cellStyle name="Normal 4 3 3 2 8" xfId="5910" xr:uid="{80E70E05-0C2E-4EDE-80D5-A6251A0B43A6}"/>
    <cellStyle name="Normal 4 3 3 2 8 2" xfId="5911" xr:uid="{7C1D6435-56FD-4FCC-821D-6EE429B24356}"/>
    <cellStyle name="Normal 4 3 3 2 8 2 2" xfId="5912" xr:uid="{AEA6650D-B642-4EC1-ADF3-981655496A7E}"/>
    <cellStyle name="Normal 4 3 3 2 8 2 3" xfId="5913" xr:uid="{94DCCFA6-9638-44B8-80FD-8643D75239DB}"/>
    <cellStyle name="Normal 4 3 3 2 8 3" xfId="5914" xr:uid="{F5E610B4-CC95-4BB9-9D3C-1D45DC236A3D}"/>
    <cellStyle name="Normal 4 3 3 2 8 4" xfId="5915" xr:uid="{C99669D0-A349-4A68-9F75-DDC6A0C816FB}"/>
    <cellStyle name="Normal 4 3 3 2 8 5" xfId="5916" xr:uid="{C4B2D0EE-CD2C-4877-839B-6A1ACAF283C1}"/>
    <cellStyle name="Normal 4 3 3 2 9" xfId="5917" xr:uid="{F2C85EAC-11E5-48D1-AA05-E3B3AE79CF58}"/>
    <cellStyle name="Normal 4 3 3 2 9 2" xfId="5918" xr:uid="{D3055DC8-A6D8-41CE-A53D-F1987D93EA6F}"/>
    <cellStyle name="Normal 4 3 3 2 9 3" xfId="5919" xr:uid="{C2C7D322-9997-4DCE-828B-66445099E5E1}"/>
    <cellStyle name="Normal 4 3 3 3" xfId="5920" xr:uid="{192E4E58-0F5E-4F14-BF75-63040F1E3CDF}"/>
    <cellStyle name="Normal 4 3 3 3 2" xfId="5921" xr:uid="{ECDF4463-7999-45DF-B45E-A30B8E91360B}"/>
    <cellStyle name="Normal 4 3 3 3 2 2" xfId="5922" xr:uid="{4CBF580D-BCD4-4918-A665-6BA9FB9A2E3F}"/>
    <cellStyle name="Normal 4 3 3 3 2 2 2" xfId="5923" xr:uid="{EF88317A-2A24-4854-8D15-2F330CF75744}"/>
    <cellStyle name="Normal 4 3 3 3 2 2 2 2" xfId="5924" xr:uid="{C364094E-62F8-4CC9-BF8F-A4C6D5750DDF}"/>
    <cellStyle name="Normal 4 3 3 3 2 2 2 2 2" xfId="5925" xr:uid="{7FAF00FD-619E-4246-A121-0EC864CE06B4}"/>
    <cellStyle name="Normal 4 3 3 3 2 2 2 2 3" xfId="5926" xr:uid="{EBA91647-04D2-497F-A516-17BF1CB74A38}"/>
    <cellStyle name="Normal 4 3 3 3 2 2 2 3" xfId="5927" xr:uid="{80780784-027B-4AED-9304-F383275B505A}"/>
    <cellStyle name="Normal 4 3 3 3 2 2 2 4" xfId="5928" xr:uid="{27F170E7-56ED-4A01-971B-A48B16EFA276}"/>
    <cellStyle name="Normal 4 3 3 3 2 2 2 5" xfId="5929" xr:uid="{D69B4ADC-DDA0-4EE1-8D76-76BB9DB0A746}"/>
    <cellStyle name="Normal 4 3 3 3 2 2 3" xfId="5930" xr:uid="{E9775C97-8D19-4E56-962E-EDBEBD923AEE}"/>
    <cellStyle name="Normal 4 3 3 3 2 2 3 2" xfId="5931" xr:uid="{68E8ADAA-9EBD-4F78-9222-A2655B61C249}"/>
    <cellStyle name="Normal 4 3 3 3 2 2 3 2 2" xfId="5932" xr:uid="{09654C1D-BA4D-4D01-9A92-B25F3574DFE9}"/>
    <cellStyle name="Normal 4 3 3 3 2 2 3 2 3" xfId="5933" xr:uid="{7680CA99-FC33-4618-B543-5D406C2B4C04}"/>
    <cellStyle name="Normal 4 3 3 3 2 2 3 3" xfId="5934" xr:uid="{9A8DE98F-7D6E-4520-A797-89F4BF763965}"/>
    <cellStyle name="Normal 4 3 3 3 2 2 3 4" xfId="5935" xr:uid="{BA9DBB05-AA38-46A5-8D04-8B7A1E23C310}"/>
    <cellStyle name="Normal 4 3 3 3 2 2 3 5" xfId="5936" xr:uid="{7719B61A-42E8-4B35-AC83-51AB4E9F4BE4}"/>
    <cellStyle name="Normal 4 3 3 3 2 2 4" xfId="5937" xr:uid="{A61BF2C5-E851-46B9-977E-609D5A2356EB}"/>
    <cellStyle name="Normal 4 3 3 3 2 2 4 2" xfId="5938" xr:uid="{44EF02D3-9155-41FC-8449-7F2CBD1B2050}"/>
    <cellStyle name="Normal 4 3 3 3 2 2 4 3" xfId="5939" xr:uid="{784E38D0-EE25-4E16-9A48-D2FF5FBDCC10}"/>
    <cellStyle name="Normal 4 3 3 3 2 2 5" xfId="5940" xr:uid="{7612D152-B0FB-407F-8107-7526063D927F}"/>
    <cellStyle name="Normal 4 3 3 3 2 2 6" xfId="5941" xr:uid="{329DFC0D-E2C3-45B1-A430-2414FE58DAAC}"/>
    <cellStyle name="Normal 4 3 3 3 2 2 7" xfId="5942" xr:uid="{95B9053C-C5F2-4BBC-BA8B-A4D417C54C7C}"/>
    <cellStyle name="Normal 4 3 3 3 2 3" xfId="5943" xr:uid="{09918A54-F908-46CB-B0B4-3587F071EA5B}"/>
    <cellStyle name="Normal 4 3 3 3 2 3 2" xfId="5944" xr:uid="{52F57CDD-C306-453A-89B6-799A9DAE21BF}"/>
    <cellStyle name="Normal 4 3 3 3 2 3 2 2" xfId="5945" xr:uid="{7A7F8672-0391-4AC9-B766-1A2B8BF5BF58}"/>
    <cellStyle name="Normal 4 3 3 3 2 3 2 3" xfId="5946" xr:uid="{94CFC47D-E695-47F4-AE28-897008FBA6B4}"/>
    <cellStyle name="Normal 4 3 3 3 2 3 3" xfId="5947" xr:uid="{EB72BBC6-1062-438D-8694-FD567994E4E5}"/>
    <cellStyle name="Normal 4 3 3 3 2 3 4" xfId="5948" xr:uid="{5A054A1B-703A-4650-B488-50583964DBF7}"/>
    <cellStyle name="Normal 4 3 3 3 2 3 5" xfId="5949" xr:uid="{510CC538-6443-4B59-A497-056E8F4D4222}"/>
    <cellStyle name="Normal 4 3 3 3 2 4" xfId="5950" xr:uid="{06060CBB-99F5-4E5E-A4B8-2A3E287C319D}"/>
    <cellStyle name="Normal 4 3 3 3 2 4 2" xfId="5951" xr:uid="{75C082B4-9047-4FDF-9700-1273D770ED89}"/>
    <cellStyle name="Normal 4 3 3 3 2 4 2 2" xfId="5952" xr:uid="{96E84723-57D1-49F6-BFCB-EE94C7714DBE}"/>
    <cellStyle name="Normal 4 3 3 3 2 4 2 3" xfId="5953" xr:uid="{5F8E3E90-54A7-4D1A-BC87-A4E5E586409F}"/>
    <cellStyle name="Normal 4 3 3 3 2 4 3" xfId="5954" xr:uid="{C4B64152-85F7-4BAC-881E-6A6B8E0605E5}"/>
    <cellStyle name="Normal 4 3 3 3 2 4 4" xfId="5955" xr:uid="{CEA81D74-D1D3-4442-9656-F44349DA4396}"/>
    <cellStyle name="Normal 4 3 3 3 2 4 5" xfId="5956" xr:uid="{72D102F0-7CC4-4116-BDEF-BA4BED72524A}"/>
    <cellStyle name="Normal 4 3 3 3 2 5" xfId="5957" xr:uid="{B9BFC96D-5E3C-4684-949F-EF8149D0DC9A}"/>
    <cellStyle name="Normal 4 3 3 3 2 5 2" xfId="5958" xr:uid="{D848E8B3-2145-480C-8C7B-CBC3742332FE}"/>
    <cellStyle name="Normal 4 3 3 3 2 5 3" xfId="5959" xr:uid="{69B92C6B-D8E2-4108-B404-40C446C8ADA2}"/>
    <cellStyle name="Normal 4 3 3 3 2 6" xfId="5960" xr:uid="{8325F894-BFC2-46FD-ADE4-BC63DB410BE4}"/>
    <cellStyle name="Normal 4 3 3 3 2 7" xfId="5961" xr:uid="{55E4C90C-59B3-42C2-B2F5-A62F25D760FE}"/>
    <cellStyle name="Normal 4 3 3 3 2 8" xfId="5962" xr:uid="{5E791069-2877-4873-95C6-B393036A74DB}"/>
    <cellStyle name="Normal 4 3 3 3 3" xfId="5963" xr:uid="{C019EB8F-0F7E-47E6-8621-3C5EBDEB3AF0}"/>
    <cellStyle name="Normal 4 3 3 3 3 2" xfId="5964" xr:uid="{4F7C4457-D7C7-41E0-B357-E1A48401152D}"/>
    <cellStyle name="Normal 4 3 3 3 3 2 2" xfId="5965" xr:uid="{D3FFBC50-1642-4962-A24F-A397BCC43ECF}"/>
    <cellStyle name="Normal 4 3 3 3 3 2 2 2" xfId="5966" xr:uid="{ACB17D0D-D36F-40F4-B3E7-C8835B537184}"/>
    <cellStyle name="Normal 4 3 3 3 3 2 2 3" xfId="5967" xr:uid="{A454D0EE-8FFA-4F5E-9B2F-A71428CBA22B}"/>
    <cellStyle name="Normal 4 3 3 3 3 2 3" xfId="5968" xr:uid="{A6672AB2-5BE1-433F-8D26-5E2789875B1D}"/>
    <cellStyle name="Normal 4 3 3 3 3 2 4" xfId="5969" xr:uid="{2AC223CC-C09D-4669-B9EA-7A343960931E}"/>
    <cellStyle name="Normal 4 3 3 3 3 2 5" xfId="5970" xr:uid="{7E2D0806-AA5A-4FA4-9C6B-66303556907E}"/>
    <cellStyle name="Normal 4 3 3 3 3 3" xfId="5971" xr:uid="{A927799E-856B-4E1F-9612-FDEC0F19AF59}"/>
    <cellStyle name="Normal 4 3 3 3 3 3 2" xfId="5972" xr:uid="{61A61F1B-0516-4601-B3CA-3A4F742E42E3}"/>
    <cellStyle name="Normal 4 3 3 3 3 3 2 2" xfId="5973" xr:uid="{D02A99BA-0CB5-4B22-8A6B-C8404236F80A}"/>
    <cellStyle name="Normal 4 3 3 3 3 3 2 3" xfId="5974" xr:uid="{346B3D4E-4F61-48BE-AEF9-50FBFC74C8C3}"/>
    <cellStyle name="Normal 4 3 3 3 3 3 3" xfId="5975" xr:uid="{C5A720DA-5D28-4105-8A11-5DBD2EDC5098}"/>
    <cellStyle name="Normal 4 3 3 3 3 3 4" xfId="5976" xr:uid="{C06DA7DB-BDA7-42DA-BE60-D0451F0E8B7F}"/>
    <cellStyle name="Normal 4 3 3 3 3 3 5" xfId="5977" xr:uid="{E4F51406-95AE-4A70-B440-385CD79DC10F}"/>
    <cellStyle name="Normal 4 3 3 3 3 4" xfId="5978" xr:uid="{6DB3AA86-7BBF-4EBB-87A2-D35728D8423A}"/>
    <cellStyle name="Normal 4 3 3 3 3 4 2" xfId="5979" xr:uid="{ADD2611B-E271-4DB7-BB95-715F15291B99}"/>
    <cellStyle name="Normal 4 3 3 3 3 4 3" xfId="5980" xr:uid="{C5E70169-40C6-48E5-9783-A8DF0A9D86F6}"/>
    <cellStyle name="Normal 4 3 3 3 3 5" xfId="5981" xr:uid="{DC888DC2-D9B7-4E79-B83C-20832DAC1AF6}"/>
    <cellStyle name="Normal 4 3 3 3 3 6" xfId="5982" xr:uid="{B1298C25-6B77-4E91-A2AD-CE2A6225EDF6}"/>
    <cellStyle name="Normal 4 3 3 3 3 7" xfId="5983" xr:uid="{0061FB74-06FA-4923-BF54-E735864AE952}"/>
    <cellStyle name="Normal 4 3 3 3 4" xfId="5984" xr:uid="{9AD6A0CF-B1FE-4094-A96F-AA428107AF02}"/>
    <cellStyle name="Normal 4 3 3 3 4 2" xfId="5985" xr:uid="{66D44853-016F-481F-BBB1-6D5C8220ED93}"/>
    <cellStyle name="Normal 4 3 3 3 4 2 2" xfId="5986" xr:uid="{0A6B68A9-70C4-41CD-96A3-C5944E66F9C6}"/>
    <cellStyle name="Normal 4 3 3 3 4 2 3" xfId="5987" xr:uid="{BD5F6321-E286-46CE-B139-F89A6447E71B}"/>
    <cellStyle name="Normal 4 3 3 3 4 3" xfId="5988" xr:uid="{7147470A-753E-4EED-A7D1-019AEAFF256A}"/>
    <cellStyle name="Normal 4 3 3 3 4 4" xfId="5989" xr:uid="{BE57F769-BAB2-406B-90D9-E8E9E94651E3}"/>
    <cellStyle name="Normal 4 3 3 3 4 5" xfId="5990" xr:uid="{F7627974-0F7F-48A2-88C0-E11D8DF6A83E}"/>
    <cellStyle name="Normal 4 3 3 3 5" xfId="5991" xr:uid="{4130CE72-4BE1-4FBA-8339-A888BD5DF3B9}"/>
    <cellStyle name="Normal 4 3 3 3 5 2" xfId="5992" xr:uid="{1461E70F-4911-4105-B0FC-A1C33A9274BC}"/>
    <cellStyle name="Normal 4 3 3 3 5 2 2" xfId="5993" xr:uid="{28A3CF37-0EE4-4427-AD0A-59D7945D0FC6}"/>
    <cellStyle name="Normal 4 3 3 3 5 2 3" xfId="5994" xr:uid="{4E7D0780-450F-4199-A581-0CD95170A8E0}"/>
    <cellStyle name="Normal 4 3 3 3 5 3" xfId="5995" xr:uid="{11795D7B-5DBB-498F-896C-C877826920EF}"/>
    <cellStyle name="Normal 4 3 3 3 5 4" xfId="5996" xr:uid="{EE9C8034-4BF3-447C-9DE3-8523CA32DA4E}"/>
    <cellStyle name="Normal 4 3 3 3 5 5" xfId="5997" xr:uid="{D4781728-FBD4-41FA-9ED5-137BDEA617EE}"/>
    <cellStyle name="Normal 4 3 3 3 6" xfId="5998" xr:uid="{584C6DC5-F290-4BC8-89F3-5E5640C25D83}"/>
    <cellStyle name="Normal 4 3 3 3 6 2" xfId="5999" xr:uid="{271078CD-EEE0-4004-B27A-7754DE6A8E94}"/>
    <cellStyle name="Normal 4 3 3 3 6 3" xfId="6000" xr:uid="{0829F4ED-0F1A-4646-AB5A-1DD1AD3F9329}"/>
    <cellStyle name="Normal 4 3 3 3 7" xfId="6001" xr:uid="{A76CB6AA-EC54-4CB4-91B8-23B41AA988B0}"/>
    <cellStyle name="Normal 4 3 3 3 8" xfId="6002" xr:uid="{1D6C6B64-3811-4397-9D94-DE4DAB8C72CC}"/>
    <cellStyle name="Normal 4 3 3 3 9" xfId="6003" xr:uid="{2E4086EC-0F9B-4EBC-8CE2-140EB20413A5}"/>
    <cellStyle name="Normal 4 3 3 4" xfId="6004" xr:uid="{821EF586-699F-4700-A8FE-D8CD6B08C544}"/>
    <cellStyle name="Normal 4 3 3 4 2" xfId="6005" xr:uid="{93B5B976-5C77-41A7-BE4B-137DB4AE4EE6}"/>
    <cellStyle name="Normal 4 3 3 4 2 2" xfId="6006" xr:uid="{C5141442-EBC5-4E64-8AF0-73D6CA04940B}"/>
    <cellStyle name="Normal 4 3 3 4 2 2 2" xfId="6007" xr:uid="{59CA750E-461D-4D8B-B927-3CCD4AAAE852}"/>
    <cellStyle name="Normal 4 3 3 4 2 2 2 2" xfId="6008" xr:uid="{7F5BC046-FD2B-4A1D-9F16-C679A449A7B8}"/>
    <cellStyle name="Normal 4 3 3 4 2 2 2 2 2" xfId="6009" xr:uid="{B4E91358-59E5-471C-B8AB-3FC93E95AF91}"/>
    <cellStyle name="Normal 4 3 3 4 2 2 2 2 3" xfId="6010" xr:uid="{08BBD8DC-8A28-40C4-BA9E-1CB22AA7A8F9}"/>
    <cellStyle name="Normal 4 3 3 4 2 2 2 3" xfId="6011" xr:uid="{7B925645-EC3B-4601-B30E-02320E7317C4}"/>
    <cellStyle name="Normal 4 3 3 4 2 2 2 4" xfId="6012" xr:uid="{8DD2AFDA-BAEE-438C-BA87-687E27514E24}"/>
    <cellStyle name="Normal 4 3 3 4 2 2 2 5" xfId="6013" xr:uid="{448A4557-1553-4D36-8D9F-ADEA940D63DD}"/>
    <cellStyle name="Normal 4 3 3 4 2 2 3" xfId="6014" xr:uid="{BEACD8C7-7403-4CFF-B4F0-8897D7198D9A}"/>
    <cellStyle name="Normal 4 3 3 4 2 2 3 2" xfId="6015" xr:uid="{3D45CCA2-E5C7-4650-857C-F4EB60A993F7}"/>
    <cellStyle name="Normal 4 3 3 4 2 2 3 2 2" xfId="6016" xr:uid="{C22E354C-3612-447B-8175-CC4D52E0924A}"/>
    <cellStyle name="Normal 4 3 3 4 2 2 3 2 3" xfId="6017" xr:uid="{9B87FB3F-820E-4482-A164-321E5515EB97}"/>
    <cellStyle name="Normal 4 3 3 4 2 2 3 3" xfId="6018" xr:uid="{9BDC0A12-CB44-4FE8-A84F-284220BEC64A}"/>
    <cellStyle name="Normal 4 3 3 4 2 2 3 4" xfId="6019" xr:uid="{496B67EA-F969-4BF8-99B4-100CD0B7AA76}"/>
    <cellStyle name="Normal 4 3 3 4 2 2 3 5" xfId="6020" xr:uid="{F8C811A4-7953-482B-AEB3-F62F80A00E40}"/>
    <cellStyle name="Normal 4 3 3 4 2 2 4" xfId="6021" xr:uid="{29CA3C36-9E4D-4613-A9B4-1BB4271FE2B3}"/>
    <cellStyle name="Normal 4 3 3 4 2 2 4 2" xfId="6022" xr:uid="{4D4DFDAD-24A5-4F70-904B-920256B91D97}"/>
    <cellStyle name="Normal 4 3 3 4 2 2 4 3" xfId="6023" xr:uid="{CFD99E87-B068-4055-88E5-AC403769B9CF}"/>
    <cellStyle name="Normal 4 3 3 4 2 2 5" xfId="6024" xr:uid="{8AEF77B2-7A3C-4BCD-8064-9336F0D8A73D}"/>
    <cellStyle name="Normal 4 3 3 4 2 2 6" xfId="6025" xr:uid="{20503A6C-53F0-4270-A87B-DAFA8B879615}"/>
    <cellStyle name="Normal 4 3 3 4 2 2 7" xfId="6026" xr:uid="{CF8D0E56-3F34-490A-B6C1-12505B7C6929}"/>
    <cellStyle name="Normal 4 3 3 4 2 3" xfId="6027" xr:uid="{E2074008-A390-4002-80DA-3841338F6700}"/>
    <cellStyle name="Normal 4 3 3 4 2 3 2" xfId="6028" xr:uid="{366D16E7-8441-49C1-A2CF-05B65BB0C4CD}"/>
    <cellStyle name="Normal 4 3 3 4 2 3 2 2" xfId="6029" xr:uid="{9958501F-D9BF-477C-969C-F44B32BDF599}"/>
    <cellStyle name="Normal 4 3 3 4 2 3 2 3" xfId="6030" xr:uid="{E9181530-58F1-48D1-A248-01A2CD41D60E}"/>
    <cellStyle name="Normal 4 3 3 4 2 3 3" xfId="6031" xr:uid="{1C9D7BE7-32BA-4A0E-B080-64DACC2B374D}"/>
    <cellStyle name="Normal 4 3 3 4 2 3 4" xfId="6032" xr:uid="{7BDEEC72-0839-4A54-8468-65AE11A2905C}"/>
    <cellStyle name="Normal 4 3 3 4 2 3 5" xfId="6033" xr:uid="{C0FA8544-C01C-46E9-8BA9-DD90967C966B}"/>
    <cellStyle name="Normal 4 3 3 4 2 4" xfId="6034" xr:uid="{C0B3D1EC-6293-4B05-89E5-99A8180A269F}"/>
    <cellStyle name="Normal 4 3 3 4 2 4 2" xfId="6035" xr:uid="{F36C0129-EF63-4FAD-BE0B-8A9F960A92A8}"/>
    <cellStyle name="Normal 4 3 3 4 2 4 2 2" xfId="6036" xr:uid="{066138CF-6A0D-42F9-B40B-532F6158F646}"/>
    <cellStyle name="Normal 4 3 3 4 2 4 2 3" xfId="6037" xr:uid="{A6EF487C-17D8-479B-8793-E8F9C9C01EB8}"/>
    <cellStyle name="Normal 4 3 3 4 2 4 3" xfId="6038" xr:uid="{B59520AD-4143-48D5-9CCD-42E7EB30628B}"/>
    <cellStyle name="Normal 4 3 3 4 2 4 4" xfId="6039" xr:uid="{9630E69F-3257-4A0D-8060-4C9F59B1C56B}"/>
    <cellStyle name="Normal 4 3 3 4 2 4 5" xfId="6040" xr:uid="{836C7B65-0933-4194-9BA0-E0C54341A06B}"/>
    <cellStyle name="Normal 4 3 3 4 2 5" xfId="6041" xr:uid="{B8F17737-50D1-43B6-98D8-E59EB89CBA7F}"/>
    <cellStyle name="Normal 4 3 3 4 2 5 2" xfId="6042" xr:uid="{5060B7BE-285F-47AD-A2F2-AEA493078584}"/>
    <cellStyle name="Normal 4 3 3 4 2 5 3" xfId="6043" xr:uid="{A8E635BF-FCE1-4AB7-A8D3-02BEC7A71FEE}"/>
    <cellStyle name="Normal 4 3 3 4 2 6" xfId="6044" xr:uid="{3CE3F6F6-9D06-47AC-B1F3-C6E21D2A45A8}"/>
    <cellStyle name="Normal 4 3 3 4 2 7" xfId="6045" xr:uid="{88D3001F-DCBF-4CF1-82D1-318F70D4EB34}"/>
    <cellStyle name="Normal 4 3 3 4 2 8" xfId="6046" xr:uid="{944F0EC3-1B88-4AAE-9FC3-962D9F8C140B}"/>
    <cellStyle name="Normal 4 3 3 4 3" xfId="6047" xr:uid="{2ADBBC4F-04C4-4B80-8A3D-97BCFEFE5F91}"/>
    <cellStyle name="Normal 4 3 3 4 3 2" xfId="6048" xr:uid="{FE02E98D-95E6-430E-99C4-95BCF488905D}"/>
    <cellStyle name="Normal 4 3 3 4 3 2 2" xfId="6049" xr:uid="{B61C9F1A-460C-40CA-8D2B-E618D6FFF77B}"/>
    <cellStyle name="Normal 4 3 3 4 3 2 2 2" xfId="6050" xr:uid="{68002F60-87B5-4DA8-84E0-85EDB1DEDA65}"/>
    <cellStyle name="Normal 4 3 3 4 3 2 2 3" xfId="6051" xr:uid="{7801EB23-392A-4A33-97DD-D0D1B906D8C6}"/>
    <cellStyle name="Normal 4 3 3 4 3 2 3" xfId="6052" xr:uid="{8AE651A0-E9A6-4C26-BB1C-3CB4540DB63D}"/>
    <cellStyle name="Normal 4 3 3 4 3 2 4" xfId="6053" xr:uid="{30F6B223-51D4-4850-8E8F-B25113A75F75}"/>
    <cellStyle name="Normal 4 3 3 4 3 2 5" xfId="6054" xr:uid="{702EF887-F0C4-4E2A-9D39-8DBDB68A2F2E}"/>
    <cellStyle name="Normal 4 3 3 4 3 3" xfId="6055" xr:uid="{1B38747A-FE1A-4EDD-B9AD-CB7EDA78BB50}"/>
    <cellStyle name="Normal 4 3 3 4 3 3 2" xfId="6056" xr:uid="{14AAC990-7EFC-49C3-9C98-4F65CFE35E54}"/>
    <cellStyle name="Normal 4 3 3 4 3 3 2 2" xfId="6057" xr:uid="{F6FE6050-DB30-4D5F-98AA-EF91649186A1}"/>
    <cellStyle name="Normal 4 3 3 4 3 3 2 3" xfId="6058" xr:uid="{FC74533C-3CB5-44BC-97A9-E7A3F46305C7}"/>
    <cellStyle name="Normal 4 3 3 4 3 3 3" xfId="6059" xr:uid="{0F29318C-FD78-43C5-B40C-464192A9B621}"/>
    <cellStyle name="Normal 4 3 3 4 3 3 4" xfId="6060" xr:uid="{3CF88ACB-7827-4194-8D29-44DD436E42E1}"/>
    <cellStyle name="Normal 4 3 3 4 3 3 5" xfId="6061" xr:uid="{010DD1CB-3AB1-4306-99AD-BE65CB08CCF8}"/>
    <cellStyle name="Normal 4 3 3 4 3 4" xfId="6062" xr:uid="{E9BFC648-5E04-45D0-8695-52D8CAF611BD}"/>
    <cellStyle name="Normal 4 3 3 4 3 4 2" xfId="6063" xr:uid="{33B37A2F-B7E5-47C8-99EA-E40CDC46D19B}"/>
    <cellStyle name="Normal 4 3 3 4 3 4 3" xfId="6064" xr:uid="{3BEDDA18-EDC0-4245-8771-740FC9E25888}"/>
    <cellStyle name="Normal 4 3 3 4 3 5" xfId="6065" xr:uid="{26EDBEDE-91D4-4A27-9F1B-1EF4EDDDB161}"/>
    <cellStyle name="Normal 4 3 3 4 3 6" xfId="6066" xr:uid="{13DE1C63-E02B-4ED5-9C04-D05BE5F9A8D5}"/>
    <cellStyle name="Normal 4 3 3 4 3 7" xfId="6067" xr:uid="{C262D0DA-5099-4E6C-BAE4-D7D3B439CDC9}"/>
    <cellStyle name="Normal 4 3 3 4 4" xfId="6068" xr:uid="{F680A287-C899-4663-B512-E65DF2F78AD7}"/>
    <cellStyle name="Normal 4 3 3 4 4 2" xfId="6069" xr:uid="{4A66E338-CB2B-4488-80F8-1710075F9732}"/>
    <cellStyle name="Normal 4 3 3 4 4 2 2" xfId="6070" xr:uid="{1B110736-8FC8-4A11-BB74-B67C83FF8599}"/>
    <cellStyle name="Normal 4 3 3 4 4 2 3" xfId="6071" xr:uid="{814AF660-473C-4F13-BB25-70B19E8B3A18}"/>
    <cellStyle name="Normal 4 3 3 4 4 3" xfId="6072" xr:uid="{84B9687F-D556-4BB9-BF72-C7CD3559706F}"/>
    <cellStyle name="Normal 4 3 3 4 4 4" xfId="6073" xr:uid="{907CCF1B-ED0C-4789-BD2E-842A275F79F1}"/>
    <cellStyle name="Normal 4 3 3 4 4 5" xfId="6074" xr:uid="{418F42F8-2EF3-4A4A-9945-5C95C44BD17B}"/>
    <cellStyle name="Normal 4 3 3 4 5" xfId="6075" xr:uid="{00B2773B-B69C-4C43-A874-1B7A9B015FC4}"/>
    <cellStyle name="Normal 4 3 3 4 5 2" xfId="6076" xr:uid="{ED7B2E72-448A-4367-9E8F-F51A94E78586}"/>
    <cellStyle name="Normal 4 3 3 4 5 2 2" xfId="6077" xr:uid="{14D1D208-E82B-47DE-9B69-292E5F1303CE}"/>
    <cellStyle name="Normal 4 3 3 4 5 2 3" xfId="6078" xr:uid="{CFC230CC-0290-4518-A5E2-08A6EB91DD62}"/>
    <cellStyle name="Normal 4 3 3 4 5 3" xfId="6079" xr:uid="{D1C4ED93-BF7E-4AD5-B911-E158964647FC}"/>
    <cellStyle name="Normal 4 3 3 4 5 4" xfId="6080" xr:uid="{FFD87A3D-A5D4-4FFB-BF0B-07EBFD2740A6}"/>
    <cellStyle name="Normal 4 3 3 4 5 5" xfId="6081" xr:uid="{66D9FB40-134C-4797-9E7F-2A294E665FB1}"/>
    <cellStyle name="Normal 4 3 3 4 6" xfId="6082" xr:uid="{B8BB09FA-FDD6-4C5C-8843-32EF5726A4B7}"/>
    <cellStyle name="Normal 4 3 3 4 6 2" xfId="6083" xr:uid="{25386568-DE7D-448F-ADF4-BF5A9FE2E2CA}"/>
    <cellStyle name="Normal 4 3 3 4 6 3" xfId="6084" xr:uid="{CD60EB62-BDDC-4933-9A3B-832A2B795AFB}"/>
    <cellStyle name="Normal 4 3 3 4 7" xfId="6085" xr:uid="{DDFB508F-2F03-4CC3-8B27-EF8CB56E1063}"/>
    <cellStyle name="Normal 4 3 3 4 8" xfId="6086" xr:uid="{E3C4674B-8EF9-4EBF-8A5B-7A7609812B49}"/>
    <cellStyle name="Normal 4 3 3 4 9" xfId="6087" xr:uid="{B5201C99-91A3-4AAD-BD53-05F7B3920042}"/>
    <cellStyle name="Normal 4 3 3 5" xfId="6088" xr:uid="{AAB27CD1-F2B8-46E5-AF88-6018E05B41F5}"/>
    <cellStyle name="Normal 4 3 3 5 2" xfId="6089" xr:uid="{1E13AD69-5EE6-484A-980F-A2D997031B2C}"/>
    <cellStyle name="Normal 4 3 3 5 2 2" xfId="6090" xr:uid="{07CD7C93-455C-4D41-8D43-5BA090458A04}"/>
    <cellStyle name="Normal 4 3 3 5 2 2 2" xfId="6091" xr:uid="{E074FAEF-46F4-4F2B-840C-D5D8CA4C267F}"/>
    <cellStyle name="Normal 4 3 3 5 2 2 2 2" xfId="6092" xr:uid="{17A10B62-563D-4CE0-8D37-60CD77684041}"/>
    <cellStyle name="Normal 4 3 3 5 2 2 2 2 2" xfId="6093" xr:uid="{EBF3547E-1B92-46AA-A7E3-F9AD02B0F63F}"/>
    <cellStyle name="Normal 4 3 3 5 2 2 2 2 3" xfId="6094" xr:uid="{DD50A070-FC02-4D7A-A56A-C511EAC87924}"/>
    <cellStyle name="Normal 4 3 3 5 2 2 2 3" xfId="6095" xr:uid="{90373E86-D51C-430F-9FA6-16D837ACCF15}"/>
    <cellStyle name="Normal 4 3 3 5 2 2 2 4" xfId="6096" xr:uid="{5D2153A5-7AC6-40E3-AF5C-09C400EEC83C}"/>
    <cellStyle name="Normal 4 3 3 5 2 2 2 5" xfId="6097" xr:uid="{E92050F3-ED3A-4B30-A5E1-701758C50496}"/>
    <cellStyle name="Normal 4 3 3 5 2 2 3" xfId="6098" xr:uid="{56A3B68B-BEF8-42A3-ABC5-3424053FAF02}"/>
    <cellStyle name="Normal 4 3 3 5 2 2 3 2" xfId="6099" xr:uid="{3E3D5DAC-4FC5-459B-8422-5BC8E2DD0B66}"/>
    <cellStyle name="Normal 4 3 3 5 2 2 3 2 2" xfId="6100" xr:uid="{F515352D-D29E-4EC9-9D19-71F3C7948525}"/>
    <cellStyle name="Normal 4 3 3 5 2 2 3 2 3" xfId="6101" xr:uid="{8B7000EF-925D-4484-889F-4F2F77FFBC59}"/>
    <cellStyle name="Normal 4 3 3 5 2 2 3 3" xfId="6102" xr:uid="{5749AF7C-33FA-4A83-8176-8A51D119062C}"/>
    <cellStyle name="Normal 4 3 3 5 2 2 3 4" xfId="6103" xr:uid="{2AEF2FED-76CA-440D-918E-FF751CE13796}"/>
    <cellStyle name="Normal 4 3 3 5 2 2 3 5" xfId="6104" xr:uid="{929FA284-BCE7-451A-9FFF-993D1F77C4F4}"/>
    <cellStyle name="Normal 4 3 3 5 2 2 4" xfId="6105" xr:uid="{683181F8-033C-42FA-8C4C-37512533AB86}"/>
    <cellStyle name="Normal 4 3 3 5 2 2 4 2" xfId="6106" xr:uid="{B84CC8FF-83A4-4301-9797-9B895EFCCA35}"/>
    <cellStyle name="Normal 4 3 3 5 2 2 4 3" xfId="6107" xr:uid="{B7C51AAF-A1EB-4B2A-A489-CBDE0B2D0298}"/>
    <cellStyle name="Normal 4 3 3 5 2 2 5" xfId="6108" xr:uid="{52732ACA-FE16-4295-BA67-50D8CF1979B0}"/>
    <cellStyle name="Normal 4 3 3 5 2 2 6" xfId="6109" xr:uid="{8F7FD6ED-B7E2-48E3-9015-BBDE6BAB8050}"/>
    <cellStyle name="Normal 4 3 3 5 2 2 7" xfId="6110" xr:uid="{D2960B87-653F-473B-9DF2-D8CD4A17ACC7}"/>
    <cellStyle name="Normal 4 3 3 5 2 3" xfId="6111" xr:uid="{0BC847FE-5C32-442B-9629-F408E00ADEE6}"/>
    <cellStyle name="Normal 4 3 3 5 2 3 2" xfId="6112" xr:uid="{672A87D2-A977-4D15-8C19-B73191D1EE4E}"/>
    <cellStyle name="Normal 4 3 3 5 2 3 2 2" xfId="6113" xr:uid="{5C4136F6-F871-41B2-AEB4-11E6B77CC5EE}"/>
    <cellStyle name="Normal 4 3 3 5 2 3 2 3" xfId="6114" xr:uid="{EA03F3EA-BA9F-4720-91CC-300554BC9190}"/>
    <cellStyle name="Normal 4 3 3 5 2 3 3" xfId="6115" xr:uid="{8AF942E6-593A-401F-930C-0122AFB00C3F}"/>
    <cellStyle name="Normal 4 3 3 5 2 3 4" xfId="6116" xr:uid="{74D25395-8A2F-4688-8FE3-E95BFFEBE19A}"/>
    <cellStyle name="Normal 4 3 3 5 2 3 5" xfId="6117" xr:uid="{06396742-4779-4FF1-8B94-0D5B5A658249}"/>
    <cellStyle name="Normal 4 3 3 5 2 4" xfId="6118" xr:uid="{7B6D0B15-5D10-4E03-9470-20C327DEE232}"/>
    <cellStyle name="Normal 4 3 3 5 2 4 2" xfId="6119" xr:uid="{9608D1BD-833D-4640-9E2A-2D267DE2CFB2}"/>
    <cellStyle name="Normal 4 3 3 5 2 4 2 2" xfId="6120" xr:uid="{20DDAE6A-D17D-4C01-ADE8-3076544651F6}"/>
    <cellStyle name="Normal 4 3 3 5 2 4 2 3" xfId="6121" xr:uid="{B7A7514A-D8A9-49C6-8A08-134A9D7C2C20}"/>
    <cellStyle name="Normal 4 3 3 5 2 4 3" xfId="6122" xr:uid="{68D82664-43FC-4B4D-AC34-AE622357B73D}"/>
    <cellStyle name="Normal 4 3 3 5 2 4 4" xfId="6123" xr:uid="{0BAA51FC-F6AA-4B1F-A300-66B1B572E7C8}"/>
    <cellStyle name="Normal 4 3 3 5 2 4 5" xfId="6124" xr:uid="{1CE651ED-4122-41A9-9055-9DE5D5607572}"/>
    <cellStyle name="Normal 4 3 3 5 2 5" xfId="6125" xr:uid="{BEB3D58C-756C-4505-8E58-5D93E598173F}"/>
    <cellStyle name="Normal 4 3 3 5 2 5 2" xfId="6126" xr:uid="{376415EF-9815-438D-840F-306CEDC2B595}"/>
    <cellStyle name="Normal 4 3 3 5 2 5 3" xfId="6127" xr:uid="{A3FAEA31-E18E-40DF-8C4F-C94DD3B55701}"/>
    <cellStyle name="Normal 4 3 3 5 2 6" xfId="6128" xr:uid="{E1EEB432-22D1-47FF-AD07-32AB09FCDBAC}"/>
    <cellStyle name="Normal 4 3 3 5 2 7" xfId="6129" xr:uid="{35215FCC-89C0-4272-B89F-5C9ABDB00D16}"/>
    <cellStyle name="Normal 4 3 3 5 2 8" xfId="6130" xr:uid="{4C5B1D44-168A-4684-B270-31B048168A72}"/>
    <cellStyle name="Normal 4 3 3 5 3" xfId="6131" xr:uid="{5F8A9F21-4A18-4916-8883-7BC8EA961365}"/>
    <cellStyle name="Normal 4 3 3 5 3 2" xfId="6132" xr:uid="{0741B31E-01BD-4B19-A47C-1C5B31D1330D}"/>
    <cellStyle name="Normal 4 3 3 5 3 2 2" xfId="6133" xr:uid="{3F4D2BBC-F9EE-42F6-AC1E-BE5D479A6E81}"/>
    <cellStyle name="Normal 4 3 3 5 3 2 2 2" xfId="6134" xr:uid="{84BC8E1D-021B-4834-BEC9-5A8C2B1232E0}"/>
    <cellStyle name="Normal 4 3 3 5 3 2 2 3" xfId="6135" xr:uid="{0BC3B7EC-B043-4721-ACE4-59942A6E2611}"/>
    <cellStyle name="Normal 4 3 3 5 3 2 3" xfId="6136" xr:uid="{12DEEFF7-2E2A-46F4-8559-5C326198EB90}"/>
    <cellStyle name="Normal 4 3 3 5 3 2 4" xfId="6137" xr:uid="{EB82F766-056E-4255-B91E-EC6FFB78815B}"/>
    <cellStyle name="Normal 4 3 3 5 3 2 5" xfId="6138" xr:uid="{DD9EE0FB-F1AE-486C-AC9F-E367CE140944}"/>
    <cellStyle name="Normal 4 3 3 5 3 3" xfId="6139" xr:uid="{4ED17C4E-0CB3-4762-B597-7B8275E39A01}"/>
    <cellStyle name="Normal 4 3 3 5 3 3 2" xfId="6140" xr:uid="{6015C194-1A3F-4D81-A1F6-40C797800F70}"/>
    <cellStyle name="Normal 4 3 3 5 3 3 2 2" xfId="6141" xr:uid="{A5731321-59DE-44D9-8573-F6C79481E95E}"/>
    <cellStyle name="Normal 4 3 3 5 3 3 2 3" xfId="6142" xr:uid="{726D873B-07C7-47A3-83CC-5D3707A76933}"/>
    <cellStyle name="Normal 4 3 3 5 3 3 3" xfId="6143" xr:uid="{9509C573-6FDC-4C80-9596-1CF36E2304F8}"/>
    <cellStyle name="Normal 4 3 3 5 3 3 4" xfId="6144" xr:uid="{7BC911D4-2131-4F58-B5CF-98CD33F12A58}"/>
    <cellStyle name="Normal 4 3 3 5 3 3 5" xfId="6145" xr:uid="{2251D13A-8363-440D-8409-54D2207F97F7}"/>
    <cellStyle name="Normal 4 3 3 5 3 4" xfId="6146" xr:uid="{B2BA50C1-06DB-4D8B-9C2C-505AE1C41019}"/>
    <cellStyle name="Normal 4 3 3 5 3 4 2" xfId="6147" xr:uid="{A6226178-04F6-4005-BDF1-5A1A51A175A8}"/>
    <cellStyle name="Normal 4 3 3 5 3 4 3" xfId="6148" xr:uid="{53B8682E-9D42-4636-B430-18C4934EB314}"/>
    <cellStyle name="Normal 4 3 3 5 3 5" xfId="6149" xr:uid="{7820CF5A-FA21-4715-93DF-62CBEECCCCD0}"/>
    <cellStyle name="Normal 4 3 3 5 3 6" xfId="6150" xr:uid="{83302DBC-2616-4D00-8B24-B23B25A1A9E5}"/>
    <cellStyle name="Normal 4 3 3 5 3 7" xfId="6151" xr:uid="{9AFE4B18-BC3E-4826-823B-240D5B81898E}"/>
    <cellStyle name="Normal 4 3 3 5 4" xfId="6152" xr:uid="{DB1F6BBA-D412-4F89-8254-5550B04C2EE7}"/>
    <cellStyle name="Normal 4 3 3 5 4 2" xfId="6153" xr:uid="{F5CED7B0-72C6-422D-9C35-28B15056CDFE}"/>
    <cellStyle name="Normal 4 3 3 5 4 2 2" xfId="6154" xr:uid="{28C19A54-1BCB-446E-BC1F-A1BBAF52CB3E}"/>
    <cellStyle name="Normal 4 3 3 5 4 2 3" xfId="6155" xr:uid="{25B65E03-6301-4DBB-9C20-84CFD5AA3772}"/>
    <cellStyle name="Normal 4 3 3 5 4 3" xfId="6156" xr:uid="{AEE5CF8A-DE96-48E5-B86D-4665C07EFD15}"/>
    <cellStyle name="Normal 4 3 3 5 4 4" xfId="6157" xr:uid="{D897E35D-EC10-4979-8990-F1653E0FFA5F}"/>
    <cellStyle name="Normal 4 3 3 5 4 5" xfId="6158" xr:uid="{4D2E3B2B-1CA6-46D3-80DC-90FCF21911EF}"/>
    <cellStyle name="Normal 4 3 3 5 5" xfId="6159" xr:uid="{C4BCF160-5226-4BE2-A0AA-25A73394683D}"/>
    <cellStyle name="Normal 4 3 3 5 5 2" xfId="6160" xr:uid="{CAA7B5EA-5E11-43A2-9A57-B10401871F33}"/>
    <cellStyle name="Normal 4 3 3 5 5 2 2" xfId="6161" xr:uid="{17A8ECB4-6707-43B6-9427-247F13237E68}"/>
    <cellStyle name="Normal 4 3 3 5 5 2 3" xfId="6162" xr:uid="{4B53D237-9F3A-46BB-9B98-6977BD483730}"/>
    <cellStyle name="Normal 4 3 3 5 5 3" xfId="6163" xr:uid="{CBE152E3-9A85-4B8C-98D4-CAFA02D41C9D}"/>
    <cellStyle name="Normal 4 3 3 5 5 4" xfId="6164" xr:uid="{BA47ABD0-EA3D-48FA-913B-D261848A88CA}"/>
    <cellStyle name="Normal 4 3 3 5 5 5" xfId="6165" xr:uid="{F1B5DE44-5863-4BEF-8BCE-E45D3B8D0EAA}"/>
    <cellStyle name="Normal 4 3 3 5 6" xfId="6166" xr:uid="{1A0FE5E6-F1A5-4FF1-B3DF-5AF1FB5912CD}"/>
    <cellStyle name="Normal 4 3 3 5 6 2" xfId="6167" xr:uid="{DDB74E63-0EAA-4115-8073-3349CE2804FA}"/>
    <cellStyle name="Normal 4 3 3 5 6 3" xfId="6168" xr:uid="{8A59FB63-4D20-4C41-A498-C82A9637E876}"/>
    <cellStyle name="Normal 4 3 3 5 7" xfId="6169" xr:uid="{345CB765-6305-44CD-B199-1E594DB4C4E3}"/>
    <cellStyle name="Normal 4 3 3 5 8" xfId="6170" xr:uid="{AE9CB1AA-BBF1-4591-9094-02B83D4CCF58}"/>
    <cellStyle name="Normal 4 3 3 5 9" xfId="6171" xr:uid="{D1EAA169-8226-4110-A173-99D3E060F5B2}"/>
    <cellStyle name="Normal 4 3 3 6" xfId="6172" xr:uid="{C89574A5-B008-413A-8DD3-57CABC4AC675}"/>
    <cellStyle name="Normal 4 3 3 6 2" xfId="6173" xr:uid="{252E2895-397A-4101-BA01-2DA467C2049E}"/>
    <cellStyle name="Normal 4 3 3 6 2 2" xfId="6174" xr:uid="{8B062BE1-F82B-4997-B9AC-F57FE4C2B7E2}"/>
    <cellStyle name="Normal 4 3 3 6 2 2 2" xfId="6175" xr:uid="{DE236844-2EF1-48F2-A250-E509C572A5F6}"/>
    <cellStyle name="Normal 4 3 3 6 2 2 2 2" xfId="6176" xr:uid="{1335CF85-DC69-4D6C-9B4E-D9DD24A8E546}"/>
    <cellStyle name="Normal 4 3 3 6 2 2 2 3" xfId="6177" xr:uid="{9FE8AE9B-5387-436E-9214-99935CF73140}"/>
    <cellStyle name="Normal 4 3 3 6 2 2 3" xfId="6178" xr:uid="{2C02E0C4-D79E-4D10-B412-E8FC064333E1}"/>
    <cellStyle name="Normal 4 3 3 6 2 2 4" xfId="6179" xr:uid="{5FE35DBC-EF86-4999-8E92-74CE51D89FF8}"/>
    <cellStyle name="Normal 4 3 3 6 2 2 5" xfId="6180" xr:uid="{4BEBC597-4BAD-4B7B-A87C-AD37224DF8E8}"/>
    <cellStyle name="Normal 4 3 3 6 2 3" xfId="6181" xr:uid="{C213151B-EFA2-4931-92AA-B7D83791F091}"/>
    <cellStyle name="Normal 4 3 3 6 2 3 2" xfId="6182" xr:uid="{2C6689F4-05FC-46D5-AEF9-A5DFD337E24E}"/>
    <cellStyle name="Normal 4 3 3 6 2 3 2 2" xfId="6183" xr:uid="{18624E3C-507C-4B78-BE23-5EEAD7B4E7D4}"/>
    <cellStyle name="Normal 4 3 3 6 2 3 2 3" xfId="6184" xr:uid="{37B85DC1-3F59-4324-A8B5-5B01B288EC3D}"/>
    <cellStyle name="Normal 4 3 3 6 2 3 3" xfId="6185" xr:uid="{45A68F50-C6C2-48C9-AB47-666E2A0F42EC}"/>
    <cellStyle name="Normal 4 3 3 6 2 3 4" xfId="6186" xr:uid="{CD82F2BC-8B57-435D-9476-9A4B994176BD}"/>
    <cellStyle name="Normal 4 3 3 6 2 3 5" xfId="6187" xr:uid="{110DD4C9-CB9F-4176-A237-0E02C85CBF31}"/>
    <cellStyle name="Normal 4 3 3 6 2 4" xfId="6188" xr:uid="{D278768C-49FF-4148-A863-4F50A46CD1E7}"/>
    <cellStyle name="Normal 4 3 3 6 2 4 2" xfId="6189" xr:uid="{E7AC9CA4-8C73-4C68-BA31-F38BEFE2FD1A}"/>
    <cellStyle name="Normal 4 3 3 6 2 4 3" xfId="6190" xr:uid="{9E517EEF-8661-43DA-B49F-4E7C5FDD09C2}"/>
    <cellStyle name="Normal 4 3 3 6 2 5" xfId="6191" xr:uid="{2DDCAB25-55D2-4A8B-826D-097C3AE7CB41}"/>
    <cellStyle name="Normal 4 3 3 6 2 6" xfId="6192" xr:uid="{D71A385C-D1DC-40FD-A012-92E819C991F3}"/>
    <cellStyle name="Normal 4 3 3 6 2 7" xfId="6193" xr:uid="{02DD0513-37D8-47BC-B87E-7ED0993CDF38}"/>
    <cellStyle name="Normal 4 3 3 6 3" xfId="6194" xr:uid="{339609BB-301D-4B55-9B15-710FDD5DB445}"/>
    <cellStyle name="Normal 4 3 3 6 3 2" xfId="6195" xr:uid="{2D3777FC-579F-4E14-9402-D2A00FA59898}"/>
    <cellStyle name="Normal 4 3 3 6 3 2 2" xfId="6196" xr:uid="{602D36BB-1F47-4F29-8FE3-2BC1280DC59B}"/>
    <cellStyle name="Normal 4 3 3 6 3 2 3" xfId="6197" xr:uid="{760B1022-1388-4F28-B3C6-8FACE5669993}"/>
    <cellStyle name="Normal 4 3 3 6 3 3" xfId="6198" xr:uid="{C8513F28-28F1-4396-B147-F15C40E89D25}"/>
    <cellStyle name="Normal 4 3 3 6 3 4" xfId="6199" xr:uid="{47CBD8EC-7CEF-452C-8B29-CC5CEF09DD97}"/>
    <cellStyle name="Normal 4 3 3 6 3 5" xfId="6200" xr:uid="{74A0B13A-DA6B-43A6-A947-F8E2DAD4C00A}"/>
    <cellStyle name="Normal 4 3 3 6 4" xfId="6201" xr:uid="{7F1FDD7A-4DD6-41BA-9F3E-2C3386959E6E}"/>
    <cellStyle name="Normal 4 3 3 6 4 2" xfId="6202" xr:uid="{0175F937-6200-4F27-8077-3A1D5397C9E9}"/>
    <cellStyle name="Normal 4 3 3 6 4 2 2" xfId="6203" xr:uid="{FDA66802-9103-44A0-BE64-2A279CFF2711}"/>
    <cellStyle name="Normal 4 3 3 6 4 2 3" xfId="6204" xr:uid="{46792E53-551F-4CD0-9F55-3D666B051606}"/>
    <cellStyle name="Normal 4 3 3 6 4 3" xfId="6205" xr:uid="{378580FF-5865-4990-9209-FB48A91040E6}"/>
    <cellStyle name="Normal 4 3 3 6 4 4" xfId="6206" xr:uid="{F2FFCB88-A3AE-4C16-A931-4F137B9D050C}"/>
    <cellStyle name="Normal 4 3 3 6 4 5" xfId="6207" xr:uid="{99A4C038-0499-4991-8732-BED10F57B962}"/>
    <cellStyle name="Normal 4 3 3 6 5" xfId="6208" xr:uid="{E08CA55B-CCA5-460D-9D2E-874D2C4C18D1}"/>
    <cellStyle name="Normal 4 3 3 6 5 2" xfId="6209" xr:uid="{2E9E4040-47F7-47A6-A720-9D63C70757FD}"/>
    <cellStyle name="Normal 4 3 3 6 5 3" xfId="6210" xr:uid="{6897E3D3-D8BA-43A2-B944-2E588A48BE85}"/>
    <cellStyle name="Normal 4 3 3 6 6" xfId="6211" xr:uid="{4AFB9B84-244A-444B-8A4C-07A7EED8A2C4}"/>
    <cellStyle name="Normal 4 3 3 6 7" xfId="6212" xr:uid="{3267A028-8CF7-4D8D-B96C-E7AB6EE3914A}"/>
    <cellStyle name="Normal 4 3 3 6 8" xfId="6213" xr:uid="{D201FABA-2B67-436A-9FF0-07D85343D8A2}"/>
    <cellStyle name="Normal 4 3 3 7" xfId="6214" xr:uid="{3C5F64EB-3E07-49F4-8CA2-6C866DCBCEEA}"/>
    <cellStyle name="Normal 4 3 3 7 2" xfId="6215" xr:uid="{CC32F6EA-1A95-4CEF-8A74-6DF813FA1139}"/>
    <cellStyle name="Normal 4 3 3 7 2 2" xfId="6216" xr:uid="{139AAB02-252C-48DF-9E7B-032BF2679253}"/>
    <cellStyle name="Normal 4 3 3 7 2 2 2" xfId="6217" xr:uid="{35E30A12-4AB3-404C-8752-0A742E8015A9}"/>
    <cellStyle name="Normal 4 3 3 7 2 2 3" xfId="6218" xr:uid="{7C43C6FC-39FB-437F-A1E2-25498B583689}"/>
    <cellStyle name="Normal 4 3 3 7 2 3" xfId="6219" xr:uid="{8037DA24-BE89-4672-9DDB-977182114BA0}"/>
    <cellStyle name="Normal 4 3 3 7 2 4" xfId="6220" xr:uid="{6D93B19C-82E3-4F33-97D6-27E2982EEB2A}"/>
    <cellStyle name="Normal 4 3 3 7 2 5" xfId="6221" xr:uid="{202ED71D-84E3-45F3-9046-D1BFA4B96DF2}"/>
    <cellStyle name="Normal 4 3 3 7 3" xfId="6222" xr:uid="{26AF2B92-A2BD-4597-BECD-2C3E4CF3277A}"/>
    <cellStyle name="Normal 4 3 3 7 3 2" xfId="6223" xr:uid="{796296FD-BFB0-4B06-A615-77C2D4300C38}"/>
    <cellStyle name="Normal 4 3 3 7 3 2 2" xfId="6224" xr:uid="{0AA4E91F-BC72-4733-98A5-40E21525E2C5}"/>
    <cellStyle name="Normal 4 3 3 7 3 2 3" xfId="6225" xr:uid="{22957FCC-FDD8-43E2-B8A3-E91CA95667F7}"/>
    <cellStyle name="Normal 4 3 3 7 3 3" xfId="6226" xr:uid="{9E669332-7DA1-4962-A1CF-8AF246CC06D8}"/>
    <cellStyle name="Normal 4 3 3 7 3 4" xfId="6227" xr:uid="{FE21AD54-BA8C-4A0C-896A-16EE6B883290}"/>
    <cellStyle name="Normal 4 3 3 7 3 5" xfId="6228" xr:uid="{B31415A9-CC5B-4C15-9FAE-062EE2937F0E}"/>
    <cellStyle name="Normal 4 3 3 7 4" xfId="6229" xr:uid="{5CD25059-EA15-4B82-BD2A-B26FB9D22463}"/>
    <cellStyle name="Normal 4 3 3 7 4 2" xfId="6230" xr:uid="{65173E60-78F9-4869-8BEB-DA543710583A}"/>
    <cellStyle name="Normal 4 3 3 7 4 3" xfId="6231" xr:uid="{C91FA7AD-01CE-4D64-BD2A-523D25D24929}"/>
    <cellStyle name="Normal 4 3 3 7 5" xfId="6232" xr:uid="{2A71A81B-E88A-48BE-9066-09D4D4F14FA4}"/>
    <cellStyle name="Normal 4 3 3 7 6" xfId="6233" xr:uid="{313996E7-02F0-41CF-814D-9848B4FA6481}"/>
    <cellStyle name="Normal 4 3 3 7 7" xfId="6234" xr:uid="{19005D3E-6B4E-4AC1-B179-167ED5775394}"/>
    <cellStyle name="Normal 4 3 3 8" xfId="6235" xr:uid="{443F1F3C-6059-4D61-8AF7-4DDB6281517B}"/>
    <cellStyle name="Normal 4 3 3 8 2" xfId="6236" xr:uid="{08C95FB8-0F88-42A9-996D-125DCA52E77E}"/>
    <cellStyle name="Normal 4 3 3 8 2 2" xfId="6237" xr:uid="{DD2D5EED-29A9-40E3-9D76-9E140641DDCC}"/>
    <cellStyle name="Normal 4 3 3 8 2 2 2" xfId="6238" xr:uid="{F2101677-DD2B-4F89-89F8-07517BC46D75}"/>
    <cellStyle name="Normal 4 3 3 8 2 2 3" xfId="6239" xr:uid="{E5F4051A-B628-4EEB-9DE5-5DE56555D2E7}"/>
    <cellStyle name="Normal 4 3 3 8 2 3" xfId="6240" xr:uid="{40B55325-AAC1-42D7-A61C-2F6A422DA98C}"/>
    <cellStyle name="Normal 4 3 3 8 2 4" xfId="6241" xr:uid="{36B297F8-200D-4299-9F8E-4C9BE307704D}"/>
    <cellStyle name="Normal 4 3 3 8 2 5" xfId="6242" xr:uid="{7794D4A6-A4BC-4F7A-890B-A37164734046}"/>
    <cellStyle name="Normal 4 3 3 8 3" xfId="6243" xr:uid="{5056EF67-9054-4B11-A82A-416D7C4B99F2}"/>
    <cellStyle name="Normal 4 3 3 8 3 2" xfId="6244" xr:uid="{CF04F515-62AA-4C99-8C31-54ED85560F33}"/>
    <cellStyle name="Normal 4 3 3 8 3 2 2" xfId="6245" xr:uid="{B48BE79A-78FF-4BE8-9451-58EE1BDB7592}"/>
    <cellStyle name="Normal 4 3 3 8 3 2 3" xfId="6246" xr:uid="{97FA356B-35CB-48B1-BD09-56CD0D3BBCF8}"/>
    <cellStyle name="Normal 4 3 3 8 3 3" xfId="6247" xr:uid="{F15064F6-9355-4E99-84D7-3C63B8C2FDED}"/>
    <cellStyle name="Normal 4 3 3 8 3 4" xfId="6248" xr:uid="{19FBFDE5-37E4-4498-9118-2324F8A0153E}"/>
    <cellStyle name="Normal 4 3 3 8 3 5" xfId="6249" xr:uid="{991B5808-EDD5-4E93-A9F1-A153156149C0}"/>
    <cellStyle name="Normal 4 3 3 8 4" xfId="6250" xr:uid="{D48A79EA-9A02-4556-8E49-96C690B5E495}"/>
    <cellStyle name="Normal 4 3 3 8 4 2" xfId="6251" xr:uid="{98B39E1F-602B-46E5-B373-1D327DC2B42B}"/>
    <cellStyle name="Normal 4 3 3 8 4 3" xfId="6252" xr:uid="{BF3032FF-5AE2-40CD-92C2-41CAD8F707F9}"/>
    <cellStyle name="Normal 4 3 3 8 5" xfId="6253" xr:uid="{B4D84834-732B-4F0E-AA1D-2EE71619B73B}"/>
    <cellStyle name="Normal 4 3 3 8 6" xfId="6254" xr:uid="{FB27A359-3D8F-4684-916F-413E6C1594A7}"/>
    <cellStyle name="Normal 4 3 3 8 7" xfId="6255" xr:uid="{E275A840-431B-4924-A90A-CB045A7FAA4A}"/>
    <cellStyle name="Normal 4 3 3 9" xfId="6256" xr:uid="{8D0FA4EF-618F-4257-97C7-57A26591B157}"/>
    <cellStyle name="Normal 4 3 3 9 2" xfId="6257" xr:uid="{C08474EF-1D75-4881-A4F5-770A62550991}"/>
    <cellStyle name="Normal 4 3 3 9 2 2" xfId="6258" xr:uid="{6C865079-74E8-43B8-B801-1B0DCA73AF89}"/>
    <cellStyle name="Normal 4 3 3 9 2 3" xfId="6259" xr:uid="{DC0549A2-9E91-4B35-81A1-52BE61387879}"/>
    <cellStyle name="Normal 4 3 3 9 3" xfId="6260" xr:uid="{98243F08-69F0-466B-954A-8765DA4FC283}"/>
    <cellStyle name="Normal 4 3 3 9 4" xfId="6261" xr:uid="{C0B19C91-BAB1-432D-8E5B-DA647C27C8BC}"/>
    <cellStyle name="Normal 4 3 3 9 5" xfId="6262" xr:uid="{8B6A1795-F4EE-4EDE-80ED-DEC08C3A0F4E}"/>
    <cellStyle name="Normal 4 3 4" xfId="6263" xr:uid="{4C86C85D-0C97-42A6-94A6-B7750BDE0461}"/>
    <cellStyle name="Normal 4 3 4 10" xfId="6264" xr:uid="{2DD0AC20-B619-45FC-A367-96947617BABC}"/>
    <cellStyle name="Normal 4 3 4 11" xfId="6265" xr:uid="{4EBB08F6-E629-4B34-8104-F6C68D5FC52A}"/>
    <cellStyle name="Normal 4 3 4 12" xfId="6266" xr:uid="{E5574023-47C9-4A67-9723-B1D49A49A7D7}"/>
    <cellStyle name="Normal 4 3 4 2" xfId="6267" xr:uid="{B7EAF889-50DE-470C-854F-42F5F3D40F0B}"/>
    <cellStyle name="Normal 4 3 4 2 2" xfId="6268" xr:uid="{478171E2-20E7-4EB8-92AA-CA14C5D7455B}"/>
    <cellStyle name="Normal 4 3 4 2 2 2" xfId="6269" xr:uid="{272A158E-4E8A-4879-AC09-1C8FA9851900}"/>
    <cellStyle name="Normal 4 3 4 2 2 2 2" xfId="6270" xr:uid="{A5AA298B-8AA1-4556-A646-85EB77C71426}"/>
    <cellStyle name="Normal 4 3 4 2 2 2 2 2" xfId="6271" xr:uid="{BB28C10F-B73A-486B-A8C3-04F45D275D37}"/>
    <cellStyle name="Normal 4 3 4 2 2 2 2 2 2" xfId="6272" xr:uid="{2A081A9D-E5B9-4126-A667-8027CD4C2AC4}"/>
    <cellStyle name="Normal 4 3 4 2 2 2 2 2 3" xfId="6273" xr:uid="{EC498210-B88E-4FA9-AB43-36678C3F38FC}"/>
    <cellStyle name="Normal 4 3 4 2 2 2 2 3" xfId="6274" xr:uid="{A1A916CF-BB9E-4FB4-9D14-2BF502B0EAC9}"/>
    <cellStyle name="Normal 4 3 4 2 2 2 2 4" xfId="6275" xr:uid="{6660FB51-26F6-40DE-89AE-992080F493D1}"/>
    <cellStyle name="Normal 4 3 4 2 2 2 2 5" xfId="6276" xr:uid="{2A91B764-BC9C-454E-B217-7456BA990182}"/>
    <cellStyle name="Normal 4 3 4 2 2 2 3" xfId="6277" xr:uid="{14A44859-FC4C-452A-B4F6-71D7831975A9}"/>
    <cellStyle name="Normal 4 3 4 2 2 2 3 2" xfId="6278" xr:uid="{E10113D3-318C-4CD3-BF23-8D1F62B14B4A}"/>
    <cellStyle name="Normal 4 3 4 2 2 2 3 2 2" xfId="6279" xr:uid="{3ACDAF2F-8228-4EED-BB6D-ED4F311680E4}"/>
    <cellStyle name="Normal 4 3 4 2 2 2 3 2 3" xfId="6280" xr:uid="{6B8580AD-7C11-4CA2-92AD-F6C5D0A826C3}"/>
    <cellStyle name="Normal 4 3 4 2 2 2 3 3" xfId="6281" xr:uid="{C0E969E9-69F5-4D4F-85A4-5811C6974CA4}"/>
    <cellStyle name="Normal 4 3 4 2 2 2 3 4" xfId="6282" xr:uid="{56628D71-CB18-422C-8708-3411F415841D}"/>
    <cellStyle name="Normal 4 3 4 2 2 2 3 5" xfId="6283" xr:uid="{2AB6FC6C-BF11-42AB-A942-B812C611BD5B}"/>
    <cellStyle name="Normal 4 3 4 2 2 2 4" xfId="6284" xr:uid="{E8EC0584-951B-4410-A5D8-D23DF3DAFCFB}"/>
    <cellStyle name="Normal 4 3 4 2 2 2 4 2" xfId="6285" xr:uid="{07CDF914-1187-4407-B0DA-5F0EB944CD0C}"/>
    <cellStyle name="Normal 4 3 4 2 2 2 4 3" xfId="6286" xr:uid="{230FF5FC-0952-486B-8B45-9CB5835CAD8A}"/>
    <cellStyle name="Normal 4 3 4 2 2 2 5" xfId="6287" xr:uid="{9BF0E1E3-2434-4930-8A22-B6C8F02A3124}"/>
    <cellStyle name="Normal 4 3 4 2 2 2 6" xfId="6288" xr:uid="{B1E01E96-F0DB-4C70-A34F-2CAC2F0A4AF8}"/>
    <cellStyle name="Normal 4 3 4 2 2 2 7" xfId="6289" xr:uid="{11841329-AA53-424B-BFC1-557520BDAABA}"/>
    <cellStyle name="Normal 4 3 4 2 2 3" xfId="6290" xr:uid="{F762E6D1-C031-4297-8EFE-9C1AEAB25A6F}"/>
    <cellStyle name="Normal 4 3 4 2 2 3 2" xfId="6291" xr:uid="{93BF29B3-0762-4709-8F03-BA573D8E3583}"/>
    <cellStyle name="Normal 4 3 4 2 2 3 2 2" xfId="6292" xr:uid="{1CCAA375-03F4-41C3-B24B-97DCB0A865A5}"/>
    <cellStyle name="Normal 4 3 4 2 2 3 2 3" xfId="6293" xr:uid="{9D249EB9-3A35-47F3-8CD1-61D292A8CA97}"/>
    <cellStyle name="Normal 4 3 4 2 2 3 3" xfId="6294" xr:uid="{4C4EC797-7078-4ADE-8FCA-8C5D9F36DA12}"/>
    <cellStyle name="Normal 4 3 4 2 2 3 4" xfId="6295" xr:uid="{8FDC18E9-D456-4F0B-BACD-A337B575ABF3}"/>
    <cellStyle name="Normal 4 3 4 2 2 3 5" xfId="6296" xr:uid="{43428EC0-6FF0-4F51-AD8F-5E5A88D029B4}"/>
    <cellStyle name="Normal 4 3 4 2 2 4" xfId="6297" xr:uid="{48ED9D44-86CD-4348-9D9B-C5C4C2422CAF}"/>
    <cellStyle name="Normal 4 3 4 2 2 4 2" xfId="6298" xr:uid="{A1D057F9-7656-45F9-A8F4-DFF9455AA92C}"/>
    <cellStyle name="Normal 4 3 4 2 2 4 2 2" xfId="6299" xr:uid="{8C99915A-A13D-4162-92C3-B56E1E60BA7A}"/>
    <cellStyle name="Normal 4 3 4 2 2 4 2 3" xfId="6300" xr:uid="{F60C5292-6029-42C1-8020-5B25FE4C98A1}"/>
    <cellStyle name="Normal 4 3 4 2 2 4 3" xfId="6301" xr:uid="{A456D228-E39C-4663-81AD-41ACC393F26F}"/>
    <cellStyle name="Normal 4 3 4 2 2 4 4" xfId="6302" xr:uid="{EA895E0B-7250-47D0-B513-1F13191920A6}"/>
    <cellStyle name="Normal 4 3 4 2 2 4 5" xfId="6303" xr:uid="{FC11D9D8-6F8D-4CD7-9280-7F25519EF189}"/>
    <cellStyle name="Normal 4 3 4 2 2 5" xfId="6304" xr:uid="{655D3311-9B03-4260-8EA1-499615F3FBF2}"/>
    <cellStyle name="Normal 4 3 4 2 2 5 2" xfId="6305" xr:uid="{1B07F999-C204-4BC8-BB2C-3258D07411FA}"/>
    <cellStyle name="Normal 4 3 4 2 2 5 3" xfId="6306" xr:uid="{F4F983F5-2875-469D-A21A-D558E3BA12E5}"/>
    <cellStyle name="Normal 4 3 4 2 2 6" xfId="6307" xr:uid="{3FE4EA98-BE03-40EC-8EA2-E9ACA31D8210}"/>
    <cellStyle name="Normal 4 3 4 2 2 7" xfId="6308" xr:uid="{C3CD96C5-2CEA-4FDA-837F-8D6E181F6C3E}"/>
    <cellStyle name="Normal 4 3 4 2 2 8" xfId="6309" xr:uid="{A48F8A55-301C-414D-8930-8129D935FD45}"/>
    <cellStyle name="Normal 4 3 4 2 3" xfId="6310" xr:uid="{BD14B103-1558-469C-AE33-E2CD3337C233}"/>
    <cellStyle name="Normal 4 3 4 2 3 2" xfId="6311" xr:uid="{9434C8FD-42F5-4212-98B4-DA1B075FCBA9}"/>
    <cellStyle name="Normal 4 3 4 2 3 2 2" xfId="6312" xr:uid="{309D1778-3439-4D8F-95A6-5312A0CFE891}"/>
    <cellStyle name="Normal 4 3 4 2 3 2 2 2" xfId="6313" xr:uid="{FF54823E-14B0-4924-B64B-2756A5F15F75}"/>
    <cellStyle name="Normal 4 3 4 2 3 2 2 3" xfId="6314" xr:uid="{D2F75ADA-B86B-48CB-AEA4-167236D3B7D8}"/>
    <cellStyle name="Normal 4 3 4 2 3 2 3" xfId="6315" xr:uid="{9C97E8FA-B962-43D5-B770-5BEFEE5D8739}"/>
    <cellStyle name="Normal 4 3 4 2 3 2 4" xfId="6316" xr:uid="{C169DBAE-0A06-4A77-A24D-9759DCCA6533}"/>
    <cellStyle name="Normal 4 3 4 2 3 2 5" xfId="6317" xr:uid="{49F1FA64-78FF-4E7C-937A-058CE492488A}"/>
    <cellStyle name="Normal 4 3 4 2 3 3" xfId="6318" xr:uid="{34A19BBB-7B19-4B86-A8E6-B4CFEA12553E}"/>
    <cellStyle name="Normal 4 3 4 2 3 3 2" xfId="6319" xr:uid="{F0140054-5D6D-437E-8ED7-1F0BB6E409BF}"/>
    <cellStyle name="Normal 4 3 4 2 3 3 2 2" xfId="6320" xr:uid="{E23515DA-63B6-4B23-A240-BF911F581766}"/>
    <cellStyle name="Normal 4 3 4 2 3 3 2 3" xfId="6321" xr:uid="{554549A8-94C0-4447-8A02-E69CA5079EF1}"/>
    <cellStyle name="Normal 4 3 4 2 3 3 3" xfId="6322" xr:uid="{DC7C6653-9C39-4382-A95B-384D6CD35242}"/>
    <cellStyle name="Normal 4 3 4 2 3 3 4" xfId="6323" xr:uid="{84E47447-AF9D-4615-9BEB-BCBE11AEC215}"/>
    <cellStyle name="Normal 4 3 4 2 3 3 5" xfId="6324" xr:uid="{F92C11C0-D71C-49A2-8A65-1D8383E095CC}"/>
    <cellStyle name="Normal 4 3 4 2 3 4" xfId="6325" xr:uid="{83E7EF39-4B7D-4054-BD1F-B0212B69E5F9}"/>
    <cellStyle name="Normal 4 3 4 2 3 4 2" xfId="6326" xr:uid="{E7E42D61-BDCA-4850-A158-BDF8C21B9D87}"/>
    <cellStyle name="Normal 4 3 4 2 3 4 3" xfId="6327" xr:uid="{D91BA8BB-B06E-4390-A05C-3CD8F8287233}"/>
    <cellStyle name="Normal 4 3 4 2 3 5" xfId="6328" xr:uid="{82DB9777-BA08-4DDD-9DD3-6CB992E88115}"/>
    <cellStyle name="Normal 4 3 4 2 3 6" xfId="6329" xr:uid="{F761675B-C3AD-4BED-999D-66AE0AE9A1EB}"/>
    <cellStyle name="Normal 4 3 4 2 3 7" xfId="6330" xr:uid="{377F62E0-EECE-4725-BBBB-DD55153D6638}"/>
    <cellStyle name="Normal 4 3 4 2 4" xfId="6331" xr:uid="{ADC4DFBA-3ED2-4BBF-A207-209AD0E919C4}"/>
    <cellStyle name="Normal 4 3 4 2 4 2" xfId="6332" xr:uid="{3B149181-0BC5-48EA-8BC4-6D8298974E2F}"/>
    <cellStyle name="Normal 4 3 4 2 4 2 2" xfId="6333" xr:uid="{CC4D3355-5879-4E8E-ABD1-101989C3DCE9}"/>
    <cellStyle name="Normal 4 3 4 2 4 2 3" xfId="6334" xr:uid="{121A5C86-5BCA-4579-9A9A-4E6F78745811}"/>
    <cellStyle name="Normal 4 3 4 2 4 3" xfId="6335" xr:uid="{9AFF46E7-629F-476B-8995-56EAC3C8B762}"/>
    <cellStyle name="Normal 4 3 4 2 4 4" xfId="6336" xr:uid="{6D3BF49B-205A-490A-927C-117BA0AECB78}"/>
    <cellStyle name="Normal 4 3 4 2 4 5" xfId="6337" xr:uid="{81341257-564C-426A-9C9A-A3DBF7D62ABA}"/>
    <cellStyle name="Normal 4 3 4 2 5" xfId="6338" xr:uid="{CC31D048-90FA-457E-8A89-BF6EF032CD38}"/>
    <cellStyle name="Normal 4 3 4 2 5 2" xfId="6339" xr:uid="{23E95309-9691-4BD4-988A-11E8790E6EE6}"/>
    <cellStyle name="Normal 4 3 4 2 5 2 2" xfId="6340" xr:uid="{B9AD6B98-C694-4DD2-B0AF-1A781C3ECF79}"/>
    <cellStyle name="Normal 4 3 4 2 5 2 3" xfId="6341" xr:uid="{0ADA7141-4C56-4F01-AFC0-FFE19747BE78}"/>
    <cellStyle name="Normal 4 3 4 2 5 3" xfId="6342" xr:uid="{CA57D220-DBD8-44F7-91BE-EE28248A7522}"/>
    <cellStyle name="Normal 4 3 4 2 5 4" xfId="6343" xr:uid="{A7C434BE-6D16-4926-B6A0-B53A79030C8D}"/>
    <cellStyle name="Normal 4 3 4 2 5 5" xfId="6344" xr:uid="{2AAABF4D-BEAB-4BC1-973B-C676345BF19C}"/>
    <cellStyle name="Normal 4 3 4 2 6" xfId="6345" xr:uid="{A5FFDDC9-0A74-45EB-8D87-BA86A7EEA893}"/>
    <cellStyle name="Normal 4 3 4 2 6 2" xfId="6346" xr:uid="{01276C7E-B3F0-4E03-BB33-A097B71EDB2A}"/>
    <cellStyle name="Normal 4 3 4 2 6 3" xfId="6347" xr:uid="{CEF2F6D7-7B15-4FB8-A927-DAE99D4E7D78}"/>
    <cellStyle name="Normal 4 3 4 2 7" xfId="6348" xr:uid="{115FEA71-FE47-4D35-9642-BA4A1644FAC8}"/>
    <cellStyle name="Normal 4 3 4 2 8" xfId="6349" xr:uid="{1298CD02-24B3-4785-9AED-5BD6A8411424}"/>
    <cellStyle name="Normal 4 3 4 2 9" xfId="6350" xr:uid="{E0A38873-68A1-4C87-AEEB-C7FB50F182D6}"/>
    <cellStyle name="Normal 4 3 4 3" xfId="6351" xr:uid="{C433EADF-5D64-43E0-BB64-BA6EC5C535EF}"/>
    <cellStyle name="Normal 4 3 4 3 2" xfId="6352" xr:uid="{9E70A24E-7149-4047-8F03-B61C0570197A}"/>
    <cellStyle name="Normal 4 3 4 3 2 2" xfId="6353" xr:uid="{8F680EA6-A5C6-4204-8AEB-0045ABF39CF0}"/>
    <cellStyle name="Normal 4 3 4 3 2 2 2" xfId="6354" xr:uid="{0639AE48-9F8B-4B54-9472-13C103149FB9}"/>
    <cellStyle name="Normal 4 3 4 3 2 2 2 2" xfId="6355" xr:uid="{1E7D495D-EA98-420B-894C-1324DEE9715F}"/>
    <cellStyle name="Normal 4 3 4 3 2 2 2 2 2" xfId="6356" xr:uid="{3B81199C-FC74-4F7D-9FBA-FFEBF1A57DCF}"/>
    <cellStyle name="Normal 4 3 4 3 2 2 2 2 3" xfId="6357" xr:uid="{892E8664-6583-44C0-9825-48B23E4A2656}"/>
    <cellStyle name="Normal 4 3 4 3 2 2 2 3" xfId="6358" xr:uid="{3EED73D8-B2B6-4D72-B925-E77D8863CC87}"/>
    <cellStyle name="Normal 4 3 4 3 2 2 2 4" xfId="6359" xr:uid="{DC320E4A-C3FF-4A43-BA65-148717F9FD56}"/>
    <cellStyle name="Normal 4 3 4 3 2 2 2 5" xfId="6360" xr:uid="{F6ED4130-60D4-462D-9049-EA797BF834CF}"/>
    <cellStyle name="Normal 4 3 4 3 2 2 3" xfId="6361" xr:uid="{FF36DC21-4377-4685-A39C-B4D96395C08B}"/>
    <cellStyle name="Normal 4 3 4 3 2 2 3 2" xfId="6362" xr:uid="{E40FE5F6-DEA7-47DC-AAB9-9F0BE6DC37F5}"/>
    <cellStyle name="Normal 4 3 4 3 2 2 3 2 2" xfId="6363" xr:uid="{AE2DF81B-D379-4DAB-8F9E-209E1040123D}"/>
    <cellStyle name="Normal 4 3 4 3 2 2 3 2 3" xfId="6364" xr:uid="{E38D6122-8834-4FD1-BB27-1B99A36898D8}"/>
    <cellStyle name="Normal 4 3 4 3 2 2 3 3" xfId="6365" xr:uid="{7A0E9155-4C66-4C53-B290-DDD7114C93B6}"/>
    <cellStyle name="Normal 4 3 4 3 2 2 3 4" xfId="6366" xr:uid="{65EEA8F3-E576-4DA4-A7B0-A964E736CFD8}"/>
    <cellStyle name="Normal 4 3 4 3 2 2 3 5" xfId="6367" xr:uid="{C787D263-22C0-4A0E-A8F7-D0540445E28A}"/>
    <cellStyle name="Normal 4 3 4 3 2 2 4" xfId="6368" xr:uid="{38237D42-4A75-4D71-82D1-4D8932DFDBAF}"/>
    <cellStyle name="Normal 4 3 4 3 2 2 4 2" xfId="6369" xr:uid="{A1EAB2D9-23FB-458C-BE78-AD7286E6FBF8}"/>
    <cellStyle name="Normal 4 3 4 3 2 2 4 3" xfId="6370" xr:uid="{AC203B39-459C-4F9C-A381-0008E1A89C80}"/>
    <cellStyle name="Normal 4 3 4 3 2 2 5" xfId="6371" xr:uid="{3BA568CB-CB9D-4606-8173-212D2EB76846}"/>
    <cellStyle name="Normal 4 3 4 3 2 2 6" xfId="6372" xr:uid="{104D3C1A-6001-4A40-BD6C-B38A4091C728}"/>
    <cellStyle name="Normal 4 3 4 3 2 2 7" xfId="6373" xr:uid="{97B00DA8-76AB-48D0-B1AD-8CC3854E3913}"/>
    <cellStyle name="Normal 4 3 4 3 2 3" xfId="6374" xr:uid="{7B0E85B7-743E-4666-827E-D921A2193928}"/>
    <cellStyle name="Normal 4 3 4 3 2 3 2" xfId="6375" xr:uid="{8B295D49-B480-4383-96AB-F9CE701A6260}"/>
    <cellStyle name="Normal 4 3 4 3 2 3 2 2" xfId="6376" xr:uid="{E65369D2-603C-4ABC-94C5-890963AB73C2}"/>
    <cellStyle name="Normal 4 3 4 3 2 3 2 3" xfId="6377" xr:uid="{B1E0C203-F76A-4B8B-8BDE-F4C86AFB4E07}"/>
    <cellStyle name="Normal 4 3 4 3 2 3 3" xfId="6378" xr:uid="{F7A0368A-D418-419C-81CD-295BB41B3B39}"/>
    <cellStyle name="Normal 4 3 4 3 2 3 4" xfId="6379" xr:uid="{25F54FA4-DB4D-4BDB-9BF6-843AC2658884}"/>
    <cellStyle name="Normal 4 3 4 3 2 3 5" xfId="6380" xr:uid="{6137562E-6C71-4884-9FC5-135367434F4A}"/>
    <cellStyle name="Normal 4 3 4 3 2 4" xfId="6381" xr:uid="{A1BDDFCD-4E7E-41FC-BE4C-496B67BBA34B}"/>
    <cellStyle name="Normal 4 3 4 3 2 4 2" xfId="6382" xr:uid="{75018516-0A55-494E-939B-37F97B54B078}"/>
    <cellStyle name="Normal 4 3 4 3 2 4 2 2" xfId="6383" xr:uid="{FB8F3360-AF54-42DC-A406-D38F8892114E}"/>
    <cellStyle name="Normal 4 3 4 3 2 4 2 3" xfId="6384" xr:uid="{69DBDA40-6326-4CD3-9B80-97CF590F7CB8}"/>
    <cellStyle name="Normal 4 3 4 3 2 4 3" xfId="6385" xr:uid="{A0C54193-189C-4199-9C5C-ED3727F14A59}"/>
    <cellStyle name="Normal 4 3 4 3 2 4 4" xfId="6386" xr:uid="{3D82971D-55E2-4AE9-B3DE-F6082FB9E788}"/>
    <cellStyle name="Normal 4 3 4 3 2 4 5" xfId="6387" xr:uid="{1313791B-A0C6-438B-BF68-30930A4B8090}"/>
    <cellStyle name="Normal 4 3 4 3 2 5" xfId="6388" xr:uid="{6C792226-1D58-47CE-917A-F0FD9D95A8C2}"/>
    <cellStyle name="Normal 4 3 4 3 2 5 2" xfId="6389" xr:uid="{822DC7E4-C3B9-4701-8A56-C9F21AF54CE4}"/>
    <cellStyle name="Normal 4 3 4 3 2 5 3" xfId="6390" xr:uid="{2C826D2E-0FE5-4769-A362-073EEE94FB77}"/>
    <cellStyle name="Normal 4 3 4 3 2 6" xfId="6391" xr:uid="{00FBDC76-188D-42B4-B399-1254199E6AE3}"/>
    <cellStyle name="Normal 4 3 4 3 2 7" xfId="6392" xr:uid="{3EC70D00-70FC-45EC-A558-A5155120C78F}"/>
    <cellStyle name="Normal 4 3 4 3 2 8" xfId="6393" xr:uid="{0A384B23-4494-4F47-83C3-EF11034E72AE}"/>
    <cellStyle name="Normal 4 3 4 3 3" xfId="6394" xr:uid="{B8ABFA93-D768-4A98-B67F-C79F3161A6C0}"/>
    <cellStyle name="Normal 4 3 4 3 3 2" xfId="6395" xr:uid="{58E7C14D-FB51-4849-AC4F-E59907DF28E4}"/>
    <cellStyle name="Normal 4 3 4 3 3 2 2" xfId="6396" xr:uid="{494AD0C1-B6E4-46D0-8097-10306E595E4A}"/>
    <cellStyle name="Normal 4 3 4 3 3 2 2 2" xfId="6397" xr:uid="{F7D9748E-46C4-4572-A075-C293567739B9}"/>
    <cellStyle name="Normal 4 3 4 3 3 2 2 3" xfId="6398" xr:uid="{A4ECDB87-2F9B-436F-B701-EB90C6EEE7ED}"/>
    <cellStyle name="Normal 4 3 4 3 3 2 3" xfId="6399" xr:uid="{B3AE872E-9ABB-4760-A016-DC91E750EE8B}"/>
    <cellStyle name="Normal 4 3 4 3 3 2 4" xfId="6400" xr:uid="{F9AA43D9-42F7-45D8-B8E6-FA8F4DCA726C}"/>
    <cellStyle name="Normal 4 3 4 3 3 2 5" xfId="6401" xr:uid="{FDD9FAB5-5428-4577-886E-9F7F73709919}"/>
    <cellStyle name="Normal 4 3 4 3 3 3" xfId="6402" xr:uid="{7E6524F9-00A8-422F-ACB8-BE683C9B4FBF}"/>
    <cellStyle name="Normal 4 3 4 3 3 3 2" xfId="6403" xr:uid="{2032BE88-C3EF-4B0B-8A77-870B78BD860E}"/>
    <cellStyle name="Normal 4 3 4 3 3 3 2 2" xfId="6404" xr:uid="{58DD9D1E-5754-4C61-B482-FCC2EA3FCED5}"/>
    <cellStyle name="Normal 4 3 4 3 3 3 2 3" xfId="6405" xr:uid="{5C8E944A-B891-45C6-B4F3-81981E4A2BB0}"/>
    <cellStyle name="Normal 4 3 4 3 3 3 3" xfId="6406" xr:uid="{F0D78CEB-F40B-4951-B49F-E923A3ED84EE}"/>
    <cellStyle name="Normal 4 3 4 3 3 3 4" xfId="6407" xr:uid="{A990C8AE-D6C9-4661-B3FC-69CC787B5E98}"/>
    <cellStyle name="Normal 4 3 4 3 3 3 5" xfId="6408" xr:uid="{4901C0F2-2E4C-4089-AC3F-6D8E145F31BD}"/>
    <cellStyle name="Normal 4 3 4 3 3 4" xfId="6409" xr:uid="{D23F3F47-F530-4F6E-BA2E-958082C59A2B}"/>
    <cellStyle name="Normal 4 3 4 3 3 4 2" xfId="6410" xr:uid="{2465C78D-98E4-43D3-BB86-81D4ADD14C2B}"/>
    <cellStyle name="Normal 4 3 4 3 3 4 3" xfId="6411" xr:uid="{26BEE85C-B24C-437C-9635-FDE1DCF52100}"/>
    <cellStyle name="Normal 4 3 4 3 3 5" xfId="6412" xr:uid="{5099996B-D2A2-4373-871C-E5CC98265D7C}"/>
    <cellStyle name="Normal 4 3 4 3 3 6" xfId="6413" xr:uid="{163EABB0-90AF-47D8-8829-FCBC22AE75BB}"/>
    <cellStyle name="Normal 4 3 4 3 3 7" xfId="6414" xr:uid="{E4D56603-34E5-4DF9-867B-0A89B779B31E}"/>
    <cellStyle name="Normal 4 3 4 3 4" xfId="6415" xr:uid="{479D45AB-E201-40CF-85C3-93D0C5ABBABE}"/>
    <cellStyle name="Normal 4 3 4 3 4 2" xfId="6416" xr:uid="{F886EF99-1B12-477D-B255-1CFF469573ED}"/>
    <cellStyle name="Normal 4 3 4 3 4 2 2" xfId="6417" xr:uid="{E25B9B96-17A7-4137-9C22-991B633AAB05}"/>
    <cellStyle name="Normal 4 3 4 3 4 2 3" xfId="6418" xr:uid="{3725A086-28EE-4AFD-93DD-015A9065BD3B}"/>
    <cellStyle name="Normal 4 3 4 3 4 3" xfId="6419" xr:uid="{BE50BBD2-E83B-4D9B-8387-81E071FC8710}"/>
    <cellStyle name="Normal 4 3 4 3 4 4" xfId="6420" xr:uid="{80169336-E221-4365-8860-D1F4A359EB0D}"/>
    <cellStyle name="Normal 4 3 4 3 4 5" xfId="6421" xr:uid="{85D716CA-DA2D-49E4-956C-4637150AEE71}"/>
    <cellStyle name="Normal 4 3 4 3 5" xfId="6422" xr:uid="{43476091-7FDF-4EC7-BD0B-66ACE3645627}"/>
    <cellStyle name="Normal 4 3 4 3 5 2" xfId="6423" xr:uid="{41F4C513-B331-4D47-8251-8D953EE2121D}"/>
    <cellStyle name="Normal 4 3 4 3 5 2 2" xfId="6424" xr:uid="{B236EEFB-D34A-4E53-A9C2-05021251C2F3}"/>
    <cellStyle name="Normal 4 3 4 3 5 2 3" xfId="6425" xr:uid="{1E72B10A-538A-4D33-9802-71D3FAE3DFE2}"/>
    <cellStyle name="Normal 4 3 4 3 5 3" xfId="6426" xr:uid="{9B483B06-2530-482F-B24E-D14E7F0748F2}"/>
    <cellStyle name="Normal 4 3 4 3 5 4" xfId="6427" xr:uid="{90F4CCE8-7D7E-4AD5-846D-6043F39013BE}"/>
    <cellStyle name="Normal 4 3 4 3 5 5" xfId="6428" xr:uid="{9751E63C-68C1-4FC0-85DA-7FBDCB2EEC59}"/>
    <cellStyle name="Normal 4 3 4 3 6" xfId="6429" xr:uid="{009C48A0-DE33-4625-9BB8-3D30CADDAC09}"/>
    <cellStyle name="Normal 4 3 4 3 6 2" xfId="6430" xr:uid="{EFD6615F-2482-4BF8-AA0C-0E8A5DF33DB8}"/>
    <cellStyle name="Normal 4 3 4 3 6 3" xfId="6431" xr:uid="{567EC866-55B9-4621-9FAA-92D621D0FBC0}"/>
    <cellStyle name="Normal 4 3 4 3 7" xfId="6432" xr:uid="{40C86D14-1A3C-4B35-967F-4FA143E05D16}"/>
    <cellStyle name="Normal 4 3 4 3 8" xfId="6433" xr:uid="{254231DA-25EF-4B7C-8AB0-C69EE546820E}"/>
    <cellStyle name="Normal 4 3 4 3 9" xfId="6434" xr:uid="{7408BDE2-9181-4078-ABF9-CF00E6DB8E15}"/>
    <cellStyle name="Normal 4 3 4 4" xfId="6435" xr:uid="{807E17A1-499D-42C1-84D6-5B00D111731E}"/>
    <cellStyle name="Normal 4 3 4 4 2" xfId="6436" xr:uid="{D22545CF-1462-4B34-A8B5-F02535C93C7C}"/>
    <cellStyle name="Normal 4 3 4 4 2 2" xfId="6437" xr:uid="{E99160A3-A84F-4150-92F8-9FE2EFC37325}"/>
    <cellStyle name="Normal 4 3 4 4 2 2 2" xfId="6438" xr:uid="{952BBEB8-88E2-4EBD-96B1-8A62FEB4167A}"/>
    <cellStyle name="Normal 4 3 4 4 2 2 2 2" xfId="6439" xr:uid="{D05568D1-A655-4D6F-B9DF-C7657F4D712A}"/>
    <cellStyle name="Normal 4 3 4 4 2 2 2 2 2" xfId="6440" xr:uid="{C03E5E9C-4FC6-4A87-BC24-0A2714BFDECF}"/>
    <cellStyle name="Normal 4 3 4 4 2 2 2 2 3" xfId="6441" xr:uid="{8C98E25C-554D-4EB1-A962-4CC903E686C5}"/>
    <cellStyle name="Normal 4 3 4 4 2 2 2 3" xfId="6442" xr:uid="{E173E393-D02A-4F48-87CA-B4003F7F4FCF}"/>
    <cellStyle name="Normal 4 3 4 4 2 2 2 4" xfId="6443" xr:uid="{F05F9963-3E58-4486-BB5E-28D626F5D2B2}"/>
    <cellStyle name="Normal 4 3 4 4 2 2 2 5" xfId="6444" xr:uid="{8A3204AF-CF74-4296-AD03-C35D6B1A7984}"/>
    <cellStyle name="Normal 4 3 4 4 2 2 3" xfId="6445" xr:uid="{E302FB22-23C5-4633-A99F-A841E1B0C105}"/>
    <cellStyle name="Normal 4 3 4 4 2 2 3 2" xfId="6446" xr:uid="{B8D27D4F-01F2-4F91-88A8-901070FA82FF}"/>
    <cellStyle name="Normal 4 3 4 4 2 2 3 2 2" xfId="6447" xr:uid="{5D20424F-E0A0-4104-80FA-C696FD8DAB38}"/>
    <cellStyle name="Normal 4 3 4 4 2 2 3 2 3" xfId="6448" xr:uid="{0F6BB09B-1F1E-463F-B23F-0F368F017115}"/>
    <cellStyle name="Normal 4 3 4 4 2 2 3 3" xfId="6449" xr:uid="{798B7682-2FCB-4E50-9E8F-6013D488114B}"/>
    <cellStyle name="Normal 4 3 4 4 2 2 3 4" xfId="6450" xr:uid="{A2C4D8AD-9470-4D38-BE34-E9B5DBDCC20E}"/>
    <cellStyle name="Normal 4 3 4 4 2 2 3 5" xfId="6451" xr:uid="{DF8840D9-53B2-4AF3-9358-E6F4582FEDE9}"/>
    <cellStyle name="Normal 4 3 4 4 2 2 4" xfId="6452" xr:uid="{14A6EA5A-C52A-4982-B149-9456C4D196F5}"/>
    <cellStyle name="Normal 4 3 4 4 2 2 4 2" xfId="6453" xr:uid="{E0128205-0C7E-4700-8A7A-7EE9BCC1E0A4}"/>
    <cellStyle name="Normal 4 3 4 4 2 2 4 3" xfId="6454" xr:uid="{E553EC18-E154-44B5-808D-FC434E0B4773}"/>
    <cellStyle name="Normal 4 3 4 4 2 2 5" xfId="6455" xr:uid="{2F1B34A0-0166-4B52-AC00-5D8C53328F19}"/>
    <cellStyle name="Normal 4 3 4 4 2 2 6" xfId="6456" xr:uid="{31984E6D-3AB1-40F1-BD8B-3DDC7203F3E6}"/>
    <cellStyle name="Normal 4 3 4 4 2 2 7" xfId="6457" xr:uid="{85B64352-C64D-4B8A-9808-72FBA5D85C43}"/>
    <cellStyle name="Normal 4 3 4 4 2 3" xfId="6458" xr:uid="{5DD6DE01-7999-402D-A938-60E83C4D5884}"/>
    <cellStyle name="Normal 4 3 4 4 2 3 2" xfId="6459" xr:uid="{CC5602D1-9F0C-4028-866E-4CFD35694C6D}"/>
    <cellStyle name="Normal 4 3 4 4 2 3 2 2" xfId="6460" xr:uid="{98012668-ADE7-4F09-9051-32CDE6A7524D}"/>
    <cellStyle name="Normal 4 3 4 4 2 3 2 3" xfId="6461" xr:uid="{41E4C26A-F2C3-4B5D-B62B-DF13D4E51ED5}"/>
    <cellStyle name="Normal 4 3 4 4 2 3 3" xfId="6462" xr:uid="{1613DBC1-2A04-433F-B5F1-7F05839225C1}"/>
    <cellStyle name="Normal 4 3 4 4 2 3 4" xfId="6463" xr:uid="{248E31D9-6BFB-49DB-B534-1BA8EA0A5527}"/>
    <cellStyle name="Normal 4 3 4 4 2 3 5" xfId="6464" xr:uid="{F5CEF7D5-DFAC-43ED-A615-0E1BB05F0569}"/>
    <cellStyle name="Normal 4 3 4 4 2 4" xfId="6465" xr:uid="{D2D00A31-E56B-45B8-B56A-9D183A637771}"/>
    <cellStyle name="Normal 4 3 4 4 2 4 2" xfId="6466" xr:uid="{A3E8F250-9879-4625-83D3-AE97B2FBB3E8}"/>
    <cellStyle name="Normal 4 3 4 4 2 4 2 2" xfId="6467" xr:uid="{430A8DB1-A828-4A70-8734-3074874F49A9}"/>
    <cellStyle name="Normal 4 3 4 4 2 4 2 3" xfId="6468" xr:uid="{FB290C07-15FD-4DED-8CB4-056F4FEFAB13}"/>
    <cellStyle name="Normal 4 3 4 4 2 4 3" xfId="6469" xr:uid="{6D9D88BA-FCB8-4915-9E4C-B46FE0658152}"/>
    <cellStyle name="Normal 4 3 4 4 2 4 4" xfId="6470" xr:uid="{20D1B933-5E3C-448A-8B8E-B48299F94C67}"/>
    <cellStyle name="Normal 4 3 4 4 2 4 5" xfId="6471" xr:uid="{9FC8C005-F594-49E8-9BFB-3AA78F9D0095}"/>
    <cellStyle name="Normal 4 3 4 4 2 5" xfId="6472" xr:uid="{54CC25DA-4DCA-4533-87FB-0CBCEC6837FB}"/>
    <cellStyle name="Normal 4 3 4 4 2 5 2" xfId="6473" xr:uid="{D12B6376-8CB7-4CE9-8B60-7DA5D4266786}"/>
    <cellStyle name="Normal 4 3 4 4 2 5 3" xfId="6474" xr:uid="{AA2F8297-9838-46D0-8C9E-E75B03D7CDE2}"/>
    <cellStyle name="Normal 4 3 4 4 2 6" xfId="6475" xr:uid="{7477532E-C0F8-4D21-A6A8-790DB238B06F}"/>
    <cellStyle name="Normal 4 3 4 4 2 7" xfId="6476" xr:uid="{793A1DFC-7634-4D21-9BE1-AB78848541CE}"/>
    <cellStyle name="Normal 4 3 4 4 2 8" xfId="6477" xr:uid="{A710ED82-3090-4BFF-8578-D48FD36EFA0C}"/>
    <cellStyle name="Normal 4 3 4 4 3" xfId="6478" xr:uid="{DB7C371E-6DBB-473E-863F-AE406BC99B25}"/>
    <cellStyle name="Normal 4 3 4 4 3 2" xfId="6479" xr:uid="{D79B591E-660D-40BE-B561-DEA405AC2988}"/>
    <cellStyle name="Normal 4 3 4 4 3 2 2" xfId="6480" xr:uid="{9CBCCDE7-24AD-4874-A4FC-20A27F7EA577}"/>
    <cellStyle name="Normal 4 3 4 4 3 2 2 2" xfId="6481" xr:uid="{D9471C87-5987-4F79-A2AB-9E0ACFD78D4E}"/>
    <cellStyle name="Normal 4 3 4 4 3 2 2 3" xfId="6482" xr:uid="{8B58C59F-AE6A-41E4-8167-0DAB4D4A426E}"/>
    <cellStyle name="Normal 4 3 4 4 3 2 3" xfId="6483" xr:uid="{29E4F446-EDF5-48FA-972C-9ACA9A2FC3DB}"/>
    <cellStyle name="Normal 4 3 4 4 3 2 4" xfId="6484" xr:uid="{3F295948-3186-4E8F-B563-8C2147AB44F2}"/>
    <cellStyle name="Normal 4 3 4 4 3 2 5" xfId="6485" xr:uid="{526DD6D8-5E86-4FFA-ACF5-1C5202602AFD}"/>
    <cellStyle name="Normal 4 3 4 4 3 3" xfId="6486" xr:uid="{3AD0B4EB-2883-4C92-82EB-CEF2AD45A771}"/>
    <cellStyle name="Normal 4 3 4 4 3 3 2" xfId="6487" xr:uid="{1CCD92E8-568B-4DA8-8110-935C287B573E}"/>
    <cellStyle name="Normal 4 3 4 4 3 3 2 2" xfId="6488" xr:uid="{5717C470-F0CA-4ACD-876A-86867E609444}"/>
    <cellStyle name="Normal 4 3 4 4 3 3 2 3" xfId="6489" xr:uid="{4ED7063F-492E-4AEA-A0FF-4C95E9B1CA08}"/>
    <cellStyle name="Normal 4 3 4 4 3 3 3" xfId="6490" xr:uid="{8BD6A72D-C746-4010-B70F-21CC2859E647}"/>
    <cellStyle name="Normal 4 3 4 4 3 3 4" xfId="6491" xr:uid="{A7613F53-58C7-40BF-8EFA-4568325A052C}"/>
    <cellStyle name="Normal 4 3 4 4 3 3 5" xfId="6492" xr:uid="{4ABD360C-1058-4B36-9B2F-92C8A0667BD1}"/>
    <cellStyle name="Normal 4 3 4 4 3 4" xfId="6493" xr:uid="{F1307AA2-D9F8-41FE-B9A1-4933A02F14B4}"/>
    <cellStyle name="Normal 4 3 4 4 3 4 2" xfId="6494" xr:uid="{E425E269-9FF7-4D7A-9B3A-608BF5323899}"/>
    <cellStyle name="Normal 4 3 4 4 3 4 3" xfId="6495" xr:uid="{9447A293-146B-4765-BCFD-EBDC4D4AC90F}"/>
    <cellStyle name="Normal 4 3 4 4 3 5" xfId="6496" xr:uid="{70A28EC1-7317-497A-B185-9745DC56FF8C}"/>
    <cellStyle name="Normal 4 3 4 4 3 6" xfId="6497" xr:uid="{D156D526-F976-413E-99A7-7BB4D1B40437}"/>
    <cellStyle name="Normal 4 3 4 4 3 7" xfId="6498" xr:uid="{2CC579E7-C29B-4792-8DDF-D27FEFFDA993}"/>
    <cellStyle name="Normal 4 3 4 4 4" xfId="6499" xr:uid="{E64CA0E7-30F6-41D9-B94C-A2C58B00D9D7}"/>
    <cellStyle name="Normal 4 3 4 4 4 2" xfId="6500" xr:uid="{C724F463-2A41-461B-8848-5842114CB38C}"/>
    <cellStyle name="Normal 4 3 4 4 4 2 2" xfId="6501" xr:uid="{63600BCD-C9A3-4970-A11E-C5DF231DCE45}"/>
    <cellStyle name="Normal 4 3 4 4 4 2 3" xfId="6502" xr:uid="{019EDB06-3629-4E22-BAEB-28A71E24E27E}"/>
    <cellStyle name="Normal 4 3 4 4 4 3" xfId="6503" xr:uid="{9107CC15-67EC-4910-BDD0-91D251B0EE34}"/>
    <cellStyle name="Normal 4 3 4 4 4 4" xfId="6504" xr:uid="{737A71FE-9832-4DB7-9F8F-860114AB9266}"/>
    <cellStyle name="Normal 4 3 4 4 4 5" xfId="6505" xr:uid="{61859EC6-6D3D-4318-9D3E-DE6B6AB9B545}"/>
    <cellStyle name="Normal 4 3 4 4 5" xfId="6506" xr:uid="{E7B5266F-7B48-4561-97F4-A329EA0C9737}"/>
    <cellStyle name="Normal 4 3 4 4 5 2" xfId="6507" xr:uid="{3A5C43C7-CF64-418B-9899-90772E871228}"/>
    <cellStyle name="Normal 4 3 4 4 5 2 2" xfId="6508" xr:uid="{23941421-9FC9-41F1-9715-2118812499C8}"/>
    <cellStyle name="Normal 4 3 4 4 5 2 3" xfId="6509" xr:uid="{30D56459-9622-4699-AF54-772F197C0171}"/>
    <cellStyle name="Normal 4 3 4 4 5 3" xfId="6510" xr:uid="{710938A9-4678-4677-A329-2FD55B41626C}"/>
    <cellStyle name="Normal 4 3 4 4 5 4" xfId="6511" xr:uid="{1C3E51A9-EEF1-4E12-985A-A0340F9288CD}"/>
    <cellStyle name="Normal 4 3 4 4 5 5" xfId="6512" xr:uid="{385A0130-B071-466E-A80A-FCECD410F127}"/>
    <cellStyle name="Normal 4 3 4 4 6" xfId="6513" xr:uid="{9BBC0571-AE0A-451D-ADFC-DC458BDA0A7F}"/>
    <cellStyle name="Normal 4 3 4 4 6 2" xfId="6514" xr:uid="{D241AF2D-9583-446F-82B3-77779A3B3C6E}"/>
    <cellStyle name="Normal 4 3 4 4 6 3" xfId="6515" xr:uid="{147F8E52-E1DE-4A39-B599-4D9FC88BAABA}"/>
    <cellStyle name="Normal 4 3 4 4 7" xfId="6516" xr:uid="{58A09053-5C45-40AB-9E3C-24091698A998}"/>
    <cellStyle name="Normal 4 3 4 4 8" xfId="6517" xr:uid="{884658B6-90B1-44C0-B771-60E1CF73937E}"/>
    <cellStyle name="Normal 4 3 4 4 9" xfId="6518" xr:uid="{2AF250BF-23F0-48A2-9FE5-69BDD289DF79}"/>
    <cellStyle name="Normal 4 3 4 5" xfId="6519" xr:uid="{23225A31-AA44-4ED2-A3B5-CA49A50E7BAE}"/>
    <cellStyle name="Normal 4 3 4 5 2" xfId="6520" xr:uid="{AAF77930-0908-4458-9FF6-2BB851E7BEC6}"/>
    <cellStyle name="Normal 4 3 4 5 2 2" xfId="6521" xr:uid="{EB3C3527-EB23-4360-9D00-38C2865F4AA2}"/>
    <cellStyle name="Normal 4 3 4 5 2 2 2" xfId="6522" xr:uid="{21945493-EDF2-4F1F-A8C0-F6502A2B1B16}"/>
    <cellStyle name="Normal 4 3 4 5 2 2 2 2" xfId="6523" xr:uid="{D531820F-E949-437C-A6D3-70251B822153}"/>
    <cellStyle name="Normal 4 3 4 5 2 2 2 3" xfId="6524" xr:uid="{6FDA7997-C84B-42B2-8756-B69F7903220A}"/>
    <cellStyle name="Normal 4 3 4 5 2 2 3" xfId="6525" xr:uid="{B4338A45-B712-44F5-AB1F-CF91F558D803}"/>
    <cellStyle name="Normal 4 3 4 5 2 2 4" xfId="6526" xr:uid="{62925900-71DD-4300-8262-E8EE12C3AF84}"/>
    <cellStyle name="Normal 4 3 4 5 2 2 5" xfId="6527" xr:uid="{8089DF15-04B7-419D-8AC8-9C877A69887F}"/>
    <cellStyle name="Normal 4 3 4 5 2 3" xfId="6528" xr:uid="{7146DE4A-FD4A-4E2E-94B7-8F2184196335}"/>
    <cellStyle name="Normal 4 3 4 5 2 3 2" xfId="6529" xr:uid="{2C814F1C-BFE0-4C2A-923F-F915BAFB61AE}"/>
    <cellStyle name="Normal 4 3 4 5 2 3 2 2" xfId="6530" xr:uid="{6EFD38E2-5306-4FF9-A453-B1D7D51B9FA0}"/>
    <cellStyle name="Normal 4 3 4 5 2 3 2 3" xfId="6531" xr:uid="{8780BB6C-3F20-45DE-BFB8-35CC65F1105A}"/>
    <cellStyle name="Normal 4 3 4 5 2 3 3" xfId="6532" xr:uid="{0B29BEE8-BD3A-4577-B7B7-826FA46BF409}"/>
    <cellStyle name="Normal 4 3 4 5 2 3 4" xfId="6533" xr:uid="{F1197AF5-E166-4E41-95D9-241EBA62B620}"/>
    <cellStyle name="Normal 4 3 4 5 2 3 5" xfId="6534" xr:uid="{7A0A7A4B-224F-4A30-86EE-4B9B0FE65142}"/>
    <cellStyle name="Normal 4 3 4 5 2 4" xfId="6535" xr:uid="{DDADC89F-9693-4A43-97DA-CF9EB57A8E61}"/>
    <cellStyle name="Normal 4 3 4 5 2 4 2" xfId="6536" xr:uid="{C5F71CC5-9229-499F-85EB-9BF14EBB13F5}"/>
    <cellStyle name="Normal 4 3 4 5 2 4 3" xfId="6537" xr:uid="{81DF619A-07DB-462A-9973-E61D5864C67B}"/>
    <cellStyle name="Normal 4 3 4 5 2 5" xfId="6538" xr:uid="{9A958A20-2935-41BC-B2FD-A912D4C0806D}"/>
    <cellStyle name="Normal 4 3 4 5 2 6" xfId="6539" xr:uid="{6A10FC9C-00CA-413C-B782-4FE92D4A69F0}"/>
    <cellStyle name="Normal 4 3 4 5 2 7" xfId="6540" xr:uid="{4D7EE071-13D4-4295-B028-FE889523AB82}"/>
    <cellStyle name="Normal 4 3 4 5 3" xfId="6541" xr:uid="{8D3C3835-9ECE-4B49-9F6C-E9CCBC333E6A}"/>
    <cellStyle name="Normal 4 3 4 5 3 2" xfId="6542" xr:uid="{FB76E296-A89E-4873-A27E-3D6954EE0EBE}"/>
    <cellStyle name="Normal 4 3 4 5 3 2 2" xfId="6543" xr:uid="{60B9CDF9-731A-4AE5-8978-C17581D8871A}"/>
    <cellStyle name="Normal 4 3 4 5 3 2 3" xfId="6544" xr:uid="{271B0920-F964-40C1-AFEC-0DF9DE43CDD2}"/>
    <cellStyle name="Normal 4 3 4 5 3 3" xfId="6545" xr:uid="{D30917FB-10D6-4673-B04C-5B212F1B0D77}"/>
    <cellStyle name="Normal 4 3 4 5 3 4" xfId="6546" xr:uid="{3FFA89BD-50D6-4D14-864A-FCD5B0A3862B}"/>
    <cellStyle name="Normal 4 3 4 5 3 5" xfId="6547" xr:uid="{592F7EA2-2AE5-45B3-904B-6E3FEB7A632D}"/>
    <cellStyle name="Normal 4 3 4 5 4" xfId="6548" xr:uid="{F90ED3C5-A4E7-4E80-B4B5-FD0F20B27F88}"/>
    <cellStyle name="Normal 4 3 4 5 4 2" xfId="6549" xr:uid="{E5720714-C17F-4376-B48E-776BC366E777}"/>
    <cellStyle name="Normal 4 3 4 5 4 2 2" xfId="6550" xr:uid="{337A1887-EFEC-49F9-ADF2-DD6C288B5933}"/>
    <cellStyle name="Normal 4 3 4 5 4 2 3" xfId="6551" xr:uid="{16F963C5-3051-4BE9-AD3A-1F0566DBAB29}"/>
    <cellStyle name="Normal 4 3 4 5 4 3" xfId="6552" xr:uid="{8D8680AA-05E2-4C19-BC6C-383F01D138E8}"/>
    <cellStyle name="Normal 4 3 4 5 4 4" xfId="6553" xr:uid="{F88FBAF4-2FF5-4354-8A1A-3BA95A1C7B35}"/>
    <cellStyle name="Normal 4 3 4 5 4 5" xfId="6554" xr:uid="{9CFF3391-9FA8-4FD0-B109-18402B91BE48}"/>
    <cellStyle name="Normal 4 3 4 5 5" xfId="6555" xr:uid="{9E36A971-907A-4383-A70F-265981F66545}"/>
    <cellStyle name="Normal 4 3 4 5 5 2" xfId="6556" xr:uid="{9B846142-A93B-4D65-94FC-06054EF39493}"/>
    <cellStyle name="Normal 4 3 4 5 5 3" xfId="6557" xr:uid="{ED116A61-E483-420F-9994-C48B3C3B28F8}"/>
    <cellStyle name="Normal 4 3 4 5 6" xfId="6558" xr:uid="{C25D0626-9B0E-441C-9109-B77583FC4528}"/>
    <cellStyle name="Normal 4 3 4 5 7" xfId="6559" xr:uid="{9CE33C08-A8DE-480C-8446-1E5B4C67B54D}"/>
    <cellStyle name="Normal 4 3 4 5 8" xfId="6560" xr:uid="{AF7B8D40-A13E-4717-9817-36D0A3C38CEF}"/>
    <cellStyle name="Normal 4 3 4 6" xfId="6561" xr:uid="{EA99ABE9-C003-4229-B529-0CC2BDD9040F}"/>
    <cellStyle name="Normal 4 3 4 6 2" xfId="6562" xr:uid="{43D737DD-1C1D-4CB6-B721-7205AB9EA55E}"/>
    <cellStyle name="Normal 4 3 4 6 2 2" xfId="6563" xr:uid="{1D053953-40AF-4737-8875-251552528830}"/>
    <cellStyle name="Normal 4 3 4 6 2 2 2" xfId="6564" xr:uid="{74E7AA5E-7366-4B66-A2D1-1EED7EBB099D}"/>
    <cellStyle name="Normal 4 3 4 6 2 2 3" xfId="6565" xr:uid="{568FCF1C-1180-4781-956B-6E58F7998315}"/>
    <cellStyle name="Normal 4 3 4 6 2 3" xfId="6566" xr:uid="{54DDEDBF-EC09-4064-91B3-9135B90C34B8}"/>
    <cellStyle name="Normal 4 3 4 6 2 4" xfId="6567" xr:uid="{05147E0C-A365-4B71-929D-B371D786D1E5}"/>
    <cellStyle name="Normal 4 3 4 6 2 5" xfId="6568" xr:uid="{C4476193-E88B-4871-B3FB-572A28379070}"/>
    <cellStyle name="Normal 4 3 4 6 3" xfId="6569" xr:uid="{1E1C872B-78E3-4D72-9C17-473E66764597}"/>
    <cellStyle name="Normal 4 3 4 6 3 2" xfId="6570" xr:uid="{5D18C375-1CD9-4476-9735-F96D74018641}"/>
    <cellStyle name="Normal 4 3 4 6 3 2 2" xfId="6571" xr:uid="{759B0B58-EE66-4400-B290-484721520246}"/>
    <cellStyle name="Normal 4 3 4 6 3 2 3" xfId="6572" xr:uid="{9618F32E-C88B-42C7-84F5-103E4463A735}"/>
    <cellStyle name="Normal 4 3 4 6 3 3" xfId="6573" xr:uid="{F0DEABA1-1675-4546-874A-A9E5F4D40CE1}"/>
    <cellStyle name="Normal 4 3 4 6 3 4" xfId="6574" xr:uid="{1EAA07AB-8D9B-45A2-98CE-C0FF9C8EE259}"/>
    <cellStyle name="Normal 4 3 4 6 3 5" xfId="6575" xr:uid="{C5826E0B-78AD-45B8-8ADD-3108789EAACC}"/>
    <cellStyle name="Normal 4 3 4 6 4" xfId="6576" xr:uid="{3AA975D8-B9C4-4359-BB55-1EC40771BB8D}"/>
    <cellStyle name="Normal 4 3 4 6 4 2" xfId="6577" xr:uid="{F40C9950-52BB-465E-B7DE-A800A8186634}"/>
    <cellStyle name="Normal 4 3 4 6 4 3" xfId="6578" xr:uid="{3B6EFD6A-A599-4282-B291-995209208B84}"/>
    <cellStyle name="Normal 4 3 4 6 5" xfId="6579" xr:uid="{54AE9387-E824-49DF-9D61-E924C2421AED}"/>
    <cellStyle name="Normal 4 3 4 6 6" xfId="6580" xr:uid="{135277A1-2A58-46BF-9C15-B80765D54B46}"/>
    <cellStyle name="Normal 4 3 4 6 7" xfId="6581" xr:uid="{D2772D1A-5A1F-4C8E-9CB0-62B12E423804}"/>
    <cellStyle name="Normal 4 3 4 7" xfId="6582" xr:uid="{DBFBACFD-8EB9-4FDC-B2D3-5C151C36847C}"/>
    <cellStyle name="Normal 4 3 4 7 2" xfId="6583" xr:uid="{3754CDEE-B58D-4E05-A9F0-813A9A84C01B}"/>
    <cellStyle name="Normal 4 3 4 7 2 2" xfId="6584" xr:uid="{E353BE23-52DB-4BCC-B863-B8D6B98C53E5}"/>
    <cellStyle name="Normal 4 3 4 7 2 3" xfId="6585" xr:uid="{E1EAF571-52DE-4199-8BCE-13991891637E}"/>
    <cellStyle name="Normal 4 3 4 7 3" xfId="6586" xr:uid="{D55C9268-9F26-46CC-B20F-88C14C1E804F}"/>
    <cellStyle name="Normal 4 3 4 7 4" xfId="6587" xr:uid="{00F0490C-CD6E-439D-AE04-750517C92D6E}"/>
    <cellStyle name="Normal 4 3 4 7 5" xfId="6588" xr:uid="{38C24F3B-6366-4082-8B15-97231DAC4FF2}"/>
    <cellStyle name="Normal 4 3 4 8" xfId="6589" xr:uid="{4DA36DCD-7A0B-4C01-8240-55051086A656}"/>
    <cellStyle name="Normal 4 3 4 8 2" xfId="6590" xr:uid="{F3FA31A9-41D0-441E-836C-81751E6151F2}"/>
    <cellStyle name="Normal 4 3 4 8 2 2" xfId="6591" xr:uid="{E7931812-19A7-43CA-822C-18B4ECBD432D}"/>
    <cellStyle name="Normal 4 3 4 8 2 3" xfId="6592" xr:uid="{0C20345B-3A7F-4835-AE64-30775DD2B528}"/>
    <cellStyle name="Normal 4 3 4 8 3" xfId="6593" xr:uid="{8A508B65-F8DD-47C5-A0EA-4FB250422221}"/>
    <cellStyle name="Normal 4 3 4 8 4" xfId="6594" xr:uid="{252B926B-566E-49EE-9B32-49C61F04B33E}"/>
    <cellStyle name="Normal 4 3 4 8 5" xfId="6595" xr:uid="{AE237E3F-834F-4E00-BD4A-C4DD05A7BA55}"/>
    <cellStyle name="Normal 4 3 4 9" xfId="6596" xr:uid="{9B881463-CE65-47B9-8091-D5419483F123}"/>
    <cellStyle name="Normal 4 3 4 9 2" xfId="6597" xr:uid="{EA7EBD8A-8211-411E-A7D2-9C3B4A376651}"/>
    <cellStyle name="Normal 4 3 4 9 3" xfId="6598" xr:uid="{AF9A3ED4-A141-4EFA-80C5-4CB8B15C8A2F}"/>
    <cellStyle name="Normal 4 3 5" xfId="6599" xr:uid="{2C161249-B901-4F45-BE87-D7B0A0202ED9}"/>
    <cellStyle name="Normal 4 3 5 2" xfId="6600" xr:uid="{DADA4C71-A280-45A9-B0E3-8909A19A382C}"/>
    <cellStyle name="Normal 4 3 5 2 2" xfId="6601" xr:uid="{BA9C3A7C-5445-4A2B-BBC9-AB683C9F1CCE}"/>
    <cellStyle name="Normal 4 3 5 2 2 2" xfId="6602" xr:uid="{794C2572-A8EF-4C17-ADA7-86C6075FD4B9}"/>
    <cellStyle name="Normal 4 3 5 2 2 2 2" xfId="6603" xr:uid="{D24700D2-E668-43B2-B699-2F2D30D32326}"/>
    <cellStyle name="Normal 4 3 5 2 2 2 2 2" xfId="6604" xr:uid="{44C8EB1B-5C9A-4236-8D18-D26DE5D77143}"/>
    <cellStyle name="Normal 4 3 5 2 2 2 2 3" xfId="6605" xr:uid="{1846FC29-9C71-41A1-973D-214C859A4E33}"/>
    <cellStyle name="Normal 4 3 5 2 2 2 3" xfId="6606" xr:uid="{16C22088-1BC5-49F9-A465-0A3EACBF6AC7}"/>
    <cellStyle name="Normal 4 3 5 2 2 2 4" xfId="6607" xr:uid="{C033E47F-C36D-40BD-AF39-49A79380FA93}"/>
    <cellStyle name="Normal 4 3 5 2 2 2 5" xfId="6608" xr:uid="{2D2C6E15-EAC3-422E-807B-9465971338A3}"/>
    <cellStyle name="Normal 4 3 5 2 2 3" xfId="6609" xr:uid="{7F907AA5-2350-4340-BCD8-9A48BCDCBB35}"/>
    <cellStyle name="Normal 4 3 5 2 2 3 2" xfId="6610" xr:uid="{464E72A8-8631-4191-BB06-331AB09933EF}"/>
    <cellStyle name="Normal 4 3 5 2 2 3 2 2" xfId="6611" xr:uid="{36D219B7-99C3-4E20-9987-8F804E60859D}"/>
    <cellStyle name="Normal 4 3 5 2 2 3 2 3" xfId="6612" xr:uid="{FFFCCEC4-650C-4005-B20F-646C9EF89540}"/>
    <cellStyle name="Normal 4 3 5 2 2 3 3" xfId="6613" xr:uid="{C57C8E24-6DA1-4050-91F8-10466A01D62A}"/>
    <cellStyle name="Normal 4 3 5 2 2 3 4" xfId="6614" xr:uid="{792062CF-8A48-4140-9906-F8D535DC2124}"/>
    <cellStyle name="Normal 4 3 5 2 2 3 5" xfId="6615" xr:uid="{D57D52E0-ACBF-4AA4-B24A-8AEE938607E6}"/>
    <cellStyle name="Normal 4 3 5 2 2 4" xfId="6616" xr:uid="{ACAB037F-DE35-472F-A385-45FB3F1E24B8}"/>
    <cellStyle name="Normal 4 3 5 2 2 4 2" xfId="6617" xr:uid="{C25E0993-E55A-42E4-BB64-D573CDF2E4F4}"/>
    <cellStyle name="Normal 4 3 5 2 2 4 3" xfId="6618" xr:uid="{7F16C298-73CA-4BE5-92FC-C11682E03333}"/>
    <cellStyle name="Normal 4 3 5 2 2 5" xfId="6619" xr:uid="{93FB0C6C-928D-4DCD-BEC2-B7439459FE41}"/>
    <cellStyle name="Normal 4 3 5 2 2 6" xfId="6620" xr:uid="{5B48EEA0-12ED-439E-B84B-1CDD2300E90A}"/>
    <cellStyle name="Normal 4 3 5 2 2 7" xfId="6621" xr:uid="{8A5FA233-0A84-4C68-A51C-7FDB7BB8B6E8}"/>
    <cellStyle name="Normal 4 3 5 2 3" xfId="6622" xr:uid="{75E04293-4D1B-4F86-916D-12A5D72AB185}"/>
    <cellStyle name="Normal 4 3 5 2 3 2" xfId="6623" xr:uid="{12AA42D8-CF35-4290-9AB0-6995DFC124EB}"/>
    <cellStyle name="Normal 4 3 5 2 3 2 2" xfId="6624" xr:uid="{9BB14BC7-0491-41A6-8981-95C9BC78186D}"/>
    <cellStyle name="Normal 4 3 5 2 3 2 3" xfId="6625" xr:uid="{A027F26B-CB69-4C49-8595-315D2A300937}"/>
    <cellStyle name="Normal 4 3 5 2 3 3" xfId="6626" xr:uid="{641025BD-17FF-47CE-ABE6-A2F1F08C5A3D}"/>
    <cellStyle name="Normal 4 3 5 2 3 4" xfId="6627" xr:uid="{5201A2FF-9991-4B74-9DF4-F9BE95DEB672}"/>
    <cellStyle name="Normal 4 3 5 2 3 5" xfId="6628" xr:uid="{CA3B1BFD-DC19-4A90-9F84-A8272EA03650}"/>
    <cellStyle name="Normal 4 3 5 2 4" xfId="6629" xr:uid="{933E5A60-2DC4-4F7F-8182-45A6F14EA60D}"/>
    <cellStyle name="Normal 4 3 5 2 4 2" xfId="6630" xr:uid="{9BC4EE12-C9BF-44A0-90CB-510B72B68E5D}"/>
    <cellStyle name="Normal 4 3 5 2 4 2 2" xfId="6631" xr:uid="{08E09BEA-C78C-4C49-B83B-0B4361D752DD}"/>
    <cellStyle name="Normal 4 3 5 2 4 2 3" xfId="6632" xr:uid="{E6A0D852-E92D-4F8F-BD11-CAB82A944B63}"/>
    <cellStyle name="Normal 4 3 5 2 4 3" xfId="6633" xr:uid="{724CCEBD-25C3-4C5B-9FF5-FC170B5E6116}"/>
    <cellStyle name="Normal 4 3 5 2 4 4" xfId="6634" xr:uid="{3737F527-A1C6-4349-8D51-EFA0F40C1634}"/>
    <cellStyle name="Normal 4 3 5 2 4 5" xfId="6635" xr:uid="{A089F57B-A5FF-4B6E-865E-F9BF82DFBE80}"/>
    <cellStyle name="Normal 4 3 5 2 5" xfId="6636" xr:uid="{41091C4D-8631-4ADE-9A8D-03F8EF0D158A}"/>
    <cellStyle name="Normal 4 3 5 2 5 2" xfId="6637" xr:uid="{BFD8F918-37D2-41C9-87F4-A939F1E35EDD}"/>
    <cellStyle name="Normal 4 3 5 2 5 3" xfId="6638" xr:uid="{D70A1E44-1FF2-409F-9D92-969AF68D091E}"/>
    <cellStyle name="Normal 4 3 5 2 6" xfId="6639" xr:uid="{D523907E-93C5-4CEB-8ADD-B0EFFDC5918F}"/>
    <cellStyle name="Normal 4 3 5 2 7" xfId="6640" xr:uid="{BEAA8705-BBE7-45C5-8730-0DB4B9F5E6D0}"/>
    <cellStyle name="Normal 4 3 5 2 8" xfId="6641" xr:uid="{3271F4B2-F051-42FB-A85D-41095876A355}"/>
    <cellStyle name="Normal 4 3 5 3" xfId="6642" xr:uid="{08F91112-E5AA-4D19-9127-5F29011B4C2E}"/>
    <cellStyle name="Normal 4 3 5 3 2" xfId="6643" xr:uid="{6152235C-EA04-4B38-BF3A-EAC1BC3D29C9}"/>
    <cellStyle name="Normal 4 3 5 3 2 2" xfId="6644" xr:uid="{0455116B-BA0F-4A05-BA13-47AB9B242977}"/>
    <cellStyle name="Normal 4 3 5 3 2 2 2" xfId="6645" xr:uid="{EC2B01DB-BB69-4CA3-B147-28E744CEB29A}"/>
    <cellStyle name="Normal 4 3 5 3 2 2 3" xfId="6646" xr:uid="{709A6DE1-8857-431F-8926-E9B5C922F369}"/>
    <cellStyle name="Normal 4 3 5 3 2 3" xfId="6647" xr:uid="{E5671231-FD74-45CE-8DE6-F83B98F23E22}"/>
    <cellStyle name="Normal 4 3 5 3 2 4" xfId="6648" xr:uid="{E1E0BFC6-DB86-4DE6-81C5-4D976F8F664F}"/>
    <cellStyle name="Normal 4 3 5 3 2 5" xfId="6649" xr:uid="{AA6A59BE-6808-486D-A979-51EC92F426C1}"/>
    <cellStyle name="Normal 4 3 5 3 3" xfId="6650" xr:uid="{E29801C0-C0F7-4910-A290-640F578A9B0D}"/>
    <cellStyle name="Normal 4 3 5 3 3 2" xfId="6651" xr:uid="{D37F9B26-271F-43E6-A1B8-C97A04825EFC}"/>
    <cellStyle name="Normal 4 3 5 3 3 2 2" xfId="6652" xr:uid="{18DCDE2E-7581-4A0D-B074-8C732BEACA0E}"/>
    <cellStyle name="Normal 4 3 5 3 3 2 3" xfId="6653" xr:uid="{E41D3C37-AC73-4F62-B900-38916DE2537C}"/>
    <cellStyle name="Normal 4 3 5 3 3 3" xfId="6654" xr:uid="{C7267419-8810-4C07-BD77-94F0B36AF08E}"/>
    <cellStyle name="Normal 4 3 5 3 3 4" xfId="6655" xr:uid="{3C989D4D-4EB9-478F-B8BC-654BD741BD55}"/>
    <cellStyle name="Normal 4 3 5 3 3 5" xfId="6656" xr:uid="{08C54080-898E-4F64-9A6B-5BB4E9357456}"/>
    <cellStyle name="Normal 4 3 5 3 4" xfId="6657" xr:uid="{4F5CC808-5DD9-48E2-A13C-0CEB71F9D94C}"/>
    <cellStyle name="Normal 4 3 5 3 4 2" xfId="6658" xr:uid="{D1949D1C-0A88-4B9B-AF7C-F5220400409B}"/>
    <cellStyle name="Normal 4 3 5 3 4 3" xfId="6659" xr:uid="{C584DF89-1784-470D-ADD3-DCB247A00A4E}"/>
    <cellStyle name="Normal 4 3 5 3 5" xfId="6660" xr:uid="{6274B0B1-757C-437C-8F62-11FBAC015111}"/>
    <cellStyle name="Normal 4 3 5 3 6" xfId="6661" xr:uid="{0D19AE46-E8FF-4703-8CC4-8A1E2729B16D}"/>
    <cellStyle name="Normal 4 3 5 3 7" xfId="6662" xr:uid="{9E5BF2BD-C519-4753-AC0E-735A79A8FB64}"/>
    <cellStyle name="Normal 4 3 5 4" xfId="6663" xr:uid="{1A76F739-55B0-4FED-9010-87B9FE4BC15D}"/>
    <cellStyle name="Normal 4 3 5 4 2" xfId="6664" xr:uid="{ACE2AE70-B5DF-4F99-A570-D4FDC138D3E2}"/>
    <cellStyle name="Normal 4 3 5 4 2 2" xfId="6665" xr:uid="{FE80D729-9D11-4A3A-B9D5-F3231254A4DB}"/>
    <cellStyle name="Normal 4 3 5 4 2 3" xfId="6666" xr:uid="{1191AF2F-6DA5-4991-822F-FCC3E5163738}"/>
    <cellStyle name="Normal 4 3 5 4 3" xfId="6667" xr:uid="{2B5E8114-486E-4086-B4CB-54A1D658B082}"/>
    <cellStyle name="Normal 4 3 5 4 4" xfId="6668" xr:uid="{FB6FD24C-663B-49F4-A05E-D57710947B41}"/>
    <cellStyle name="Normal 4 3 5 4 5" xfId="6669" xr:uid="{EEB278F3-7776-411C-AF74-CE13BF11D220}"/>
    <cellStyle name="Normal 4 3 5 5" xfId="6670" xr:uid="{895AF991-4D7B-4F5F-8E39-65AFAF4DAC77}"/>
    <cellStyle name="Normal 4 3 5 5 2" xfId="6671" xr:uid="{87A54099-CDCC-45E3-9418-41D2FCFC3B89}"/>
    <cellStyle name="Normal 4 3 5 5 2 2" xfId="6672" xr:uid="{F509663F-6C8E-4AC7-BF75-0383B1F2F2BA}"/>
    <cellStyle name="Normal 4 3 5 5 2 3" xfId="6673" xr:uid="{62402EBF-A8BB-45D1-BA6A-FD52BD081BF0}"/>
    <cellStyle name="Normal 4 3 5 5 3" xfId="6674" xr:uid="{8C2482F8-C0E2-417F-9AF0-C1BD5B1CC777}"/>
    <cellStyle name="Normal 4 3 5 5 4" xfId="6675" xr:uid="{504D96C7-BBE4-4DCA-B4C3-3C263EBC7526}"/>
    <cellStyle name="Normal 4 3 5 5 5" xfId="6676" xr:uid="{45DC414C-C1E9-4718-88CC-8D729DA59E6F}"/>
    <cellStyle name="Normal 4 3 5 6" xfId="6677" xr:uid="{B32C9841-0114-4BA4-8FE4-EAB71CDECD7E}"/>
    <cellStyle name="Normal 4 3 5 6 2" xfId="6678" xr:uid="{8447E82B-5603-4089-B2EE-B307DBCE7A16}"/>
    <cellStyle name="Normal 4 3 5 6 3" xfId="6679" xr:uid="{CFF3143E-580A-4A9E-8D33-36FF18555440}"/>
    <cellStyle name="Normal 4 3 5 7" xfId="6680" xr:uid="{CD10A09D-3033-429B-9466-5EC9D9BFA70F}"/>
    <cellStyle name="Normal 4 3 5 8" xfId="6681" xr:uid="{C5D75179-05D5-48DE-A035-4EEE9B7FA789}"/>
    <cellStyle name="Normal 4 3 5 9" xfId="6682" xr:uid="{A3C1739F-BC98-46B1-BB0C-994D77B5D91F}"/>
    <cellStyle name="Normal 4 3 6" xfId="6683" xr:uid="{5C14891F-A00F-4974-862E-918E5B75C910}"/>
    <cellStyle name="Normal 4 3 6 2" xfId="6684" xr:uid="{526E80F5-57D2-4DDC-B79D-E1C6A8A34C66}"/>
    <cellStyle name="Normal 4 3 6 2 2" xfId="6685" xr:uid="{23AE18DE-4791-4026-9B05-9BD1F7C9E6EB}"/>
    <cellStyle name="Normal 4 3 6 2 2 2" xfId="6686" xr:uid="{9088D888-4694-4707-AC5B-57936A261396}"/>
    <cellStyle name="Normal 4 3 6 2 2 2 2" xfId="6687" xr:uid="{1CAD5B97-A7F3-4B29-B732-8AAA477408F7}"/>
    <cellStyle name="Normal 4 3 6 2 2 2 2 2" xfId="6688" xr:uid="{27AC1643-75F4-4454-814E-600F63F5C778}"/>
    <cellStyle name="Normal 4 3 6 2 2 2 2 3" xfId="6689" xr:uid="{7C9D7185-603C-4CB7-881B-69D43E87BF9C}"/>
    <cellStyle name="Normal 4 3 6 2 2 2 3" xfId="6690" xr:uid="{2F14EE75-41A0-42FB-9538-820FBF35C391}"/>
    <cellStyle name="Normal 4 3 6 2 2 2 4" xfId="6691" xr:uid="{60E8DA8D-91AA-4510-BA14-2B1100A5E2B5}"/>
    <cellStyle name="Normal 4 3 6 2 2 2 5" xfId="6692" xr:uid="{8D4E1386-4A67-4639-BB53-F8DFCC88783A}"/>
    <cellStyle name="Normal 4 3 6 2 2 3" xfId="6693" xr:uid="{76C35931-A0E3-48E7-B293-F47224EFC272}"/>
    <cellStyle name="Normal 4 3 6 2 2 3 2" xfId="6694" xr:uid="{FBC3B7BA-B3D1-4107-B0CA-A7CE1F63882F}"/>
    <cellStyle name="Normal 4 3 6 2 2 3 2 2" xfId="6695" xr:uid="{17725545-FAAE-457D-8573-9113EC95F336}"/>
    <cellStyle name="Normal 4 3 6 2 2 3 2 3" xfId="6696" xr:uid="{0C04FAA1-76EF-457D-8EC1-EE6927DBFB89}"/>
    <cellStyle name="Normal 4 3 6 2 2 3 3" xfId="6697" xr:uid="{A7AF039A-CAC9-444D-8737-D0650D6028E4}"/>
    <cellStyle name="Normal 4 3 6 2 2 3 4" xfId="6698" xr:uid="{0B132867-444F-4F5A-A03F-CBF4AD872A12}"/>
    <cellStyle name="Normal 4 3 6 2 2 3 5" xfId="6699" xr:uid="{9C29F3CA-C7FC-40C0-9A57-344E51045AE2}"/>
    <cellStyle name="Normal 4 3 6 2 2 4" xfId="6700" xr:uid="{491F900D-2FEA-41E1-A9C9-4BBA25529F4E}"/>
    <cellStyle name="Normal 4 3 6 2 2 4 2" xfId="6701" xr:uid="{39711ACC-17F7-42A1-B98E-41B4C5E1C3BC}"/>
    <cellStyle name="Normal 4 3 6 2 2 4 3" xfId="6702" xr:uid="{FCA67FEE-45B1-4F79-8B15-1FA52B18D500}"/>
    <cellStyle name="Normal 4 3 6 2 2 5" xfId="6703" xr:uid="{381C0771-2F60-41D3-9F0C-F294400A19FA}"/>
    <cellStyle name="Normal 4 3 6 2 2 6" xfId="6704" xr:uid="{58207701-46AF-43B8-AED4-2C0E52CF2F27}"/>
    <cellStyle name="Normal 4 3 6 2 2 7" xfId="6705" xr:uid="{BAAEC696-E822-4362-B2FF-37CC1585327E}"/>
    <cellStyle name="Normal 4 3 6 2 3" xfId="6706" xr:uid="{3BF92EC2-F45D-4996-A3C9-2F73EB411102}"/>
    <cellStyle name="Normal 4 3 6 2 3 2" xfId="6707" xr:uid="{64C0A1F8-BF57-4626-889D-5F7AD69E593A}"/>
    <cellStyle name="Normal 4 3 6 2 3 2 2" xfId="6708" xr:uid="{43AADB56-B942-4FFE-94F5-43896A2BF296}"/>
    <cellStyle name="Normal 4 3 6 2 3 2 3" xfId="6709" xr:uid="{F6537DFD-5353-4DCF-A866-7549EB3FDA65}"/>
    <cellStyle name="Normal 4 3 6 2 3 3" xfId="6710" xr:uid="{A04E75BE-5228-431C-8849-C0947EFA31FC}"/>
    <cellStyle name="Normal 4 3 6 2 3 4" xfId="6711" xr:uid="{8B10109B-A73B-4398-932A-700F8FEBA17B}"/>
    <cellStyle name="Normal 4 3 6 2 3 5" xfId="6712" xr:uid="{E2E9286F-F774-4DD5-999E-2796425B4BF2}"/>
    <cellStyle name="Normal 4 3 6 2 4" xfId="6713" xr:uid="{C20F3F1F-E378-4802-A25C-DE89BA33E6E2}"/>
    <cellStyle name="Normal 4 3 6 2 4 2" xfId="6714" xr:uid="{8994A826-C877-4C0A-AF99-7ADB21130B57}"/>
    <cellStyle name="Normal 4 3 6 2 4 2 2" xfId="6715" xr:uid="{6D8A6C1D-F637-4D96-A034-816B51964195}"/>
    <cellStyle name="Normal 4 3 6 2 4 2 3" xfId="6716" xr:uid="{8F9D62B7-B9C6-483E-96AE-E6A88E5DF5F7}"/>
    <cellStyle name="Normal 4 3 6 2 4 3" xfId="6717" xr:uid="{BE31F1AB-1525-41CF-B146-8067A4013336}"/>
    <cellStyle name="Normal 4 3 6 2 4 4" xfId="6718" xr:uid="{AE6766C5-F9CD-4166-A0A2-46ACB6DDA2E1}"/>
    <cellStyle name="Normal 4 3 6 2 4 5" xfId="6719" xr:uid="{D311ED10-82F1-4FC1-87E4-0913E24B3680}"/>
    <cellStyle name="Normal 4 3 6 2 5" xfId="6720" xr:uid="{B5CE7F46-3AE6-46B0-B092-ECE5DE66760D}"/>
    <cellStyle name="Normal 4 3 6 2 5 2" xfId="6721" xr:uid="{3E060F03-FF8E-4A7D-A055-0B22B6CB9E8E}"/>
    <cellStyle name="Normal 4 3 6 2 5 3" xfId="6722" xr:uid="{219029AA-7EF9-4621-839B-EF1D14E8B22F}"/>
    <cellStyle name="Normal 4 3 6 2 6" xfId="6723" xr:uid="{B6C2ACCF-7C50-4A51-9771-68BEB01BA225}"/>
    <cellStyle name="Normal 4 3 6 2 7" xfId="6724" xr:uid="{F4EE998E-1ADA-420C-B68A-F4907BAEB54C}"/>
    <cellStyle name="Normal 4 3 6 2 8" xfId="6725" xr:uid="{99C95A3B-D9FF-43DA-B485-01786F20EA6A}"/>
    <cellStyle name="Normal 4 3 6 3" xfId="6726" xr:uid="{302726AD-0789-45D7-91B6-65C2CEA7179F}"/>
    <cellStyle name="Normal 4 3 6 3 2" xfId="6727" xr:uid="{4D84DB3A-BCDA-4D10-A160-BAC6BA300F75}"/>
    <cellStyle name="Normal 4 3 6 3 2 2" xfId="6728" xr:uid="{30272C62-4E3B-4CDE-9A73-16A7274A6A66}"/>
    <cellStyle name="Normal 4 3 6 3 2 2 2" xfId="6729" xr:uid="{40F4FFA9-A411-4084-AD59-787407CE823D}"/>
    <cellStyle name="Normal 4 3 6 3 2 2 3" xfId="6730" xr:uid="{5816B598-FA1A-4765-BD7D-867CA2015069}"/>
    <cellStyle name="Normal 4 3 6 3 2 3" xfId="6731" xr:uid="{B90E1FB8-9C9C-4627-BA1D-240781B8D92C}"/>
    <cellStyle name="Normal 4 3 6 3 2 4" xfId="6732" xr:uid="{FB144151-6A91-4164-9B7B-1E1DE4EEAFB4}"/>
    <cellStyle name="Normal 4 3 6 3 2 5" xfId="6733" xr:uid="{8C2A51C8-542A-4AA4-A94D-0762B2610EBD}"/>
    <cellStyle name="Normal 4 3 6 3 3" xfId="6734" xr:uid="{4FD69754-79EB-4C25-91A3-E16C58B213E1}"/>
    <cellStyle name="Normal 4 3 6 3 3 2" xfId="6735" xr:uid="{9F04C60E-99CD-4553-810D-1C555E08AA21}"/>
    <cellStyle name="Normal 4 3 6 3 3 2 2" xfId="6736" xr:uid="{6A3E293C-C8DF-4189-9324-CEE8C0B64222}"/>
    <cellStyle name="Normal 4 3 6 3 3 2 3" xfId="6737" xr:uid="{1527ECBE-6A85-4C12-BB9D-AFD48A56A7F2}"/>
    <cellStyle name="Normal 4 3 6 3 3 3" xfId="6738" xr:uid="{65A49DB2-60E6-42B0-866B-24D837A50723}"/>
    <cellStyle name="Normal 4 3 6 3 3 4" xfId="6739" xr:uid="{0AAE995B-5DD0-440B-9B6C-14492A964EFC}"/>
    <cellStyle name="Normal 4 3 6 3 3 5" xfId="6740" xr:uid="{6BB8C245-A90F-4E56-AEDB-12B68C9D4C29}"/>
    <cellStyle name="Normal 4 3 6 3 4" xfId="6741" xr:uid="{149ACC18-2695-4017-8ACA-E56BF3BF6AFC}"/>
    <cellStyle name="Normal 4 3 6 3 4 2" xfId="6742" xr:uid="{6380E8D7-141E-4CD6-81A9-8A75C93DE7F8}"/>
    <cellStyle name="Normal 4 3 6 3 4 3" xfId="6743" xr:uid="{4091A54C-B267-4890-82D6-62D68EEE3167}"/>
    <cellStyle name="Normal 4 3 6 3 5" xfId="6744" xr:uid="{C4CAC459-BDCD-4A4B-B2E9-D649401CB38E}"/>
    <cellStyle name="Normal 4 3 6 3 6" xfId="6745" xr:uid="{4CB47943-6E67-4B2C-A313-2665D8293F5B}"/>
    <cellStyle name="Normal 4 3 6 3 7" xfId="6746" xr:uid="{BD32AF55-6A46-45F3-8433-36980BAA9B8B}"/>
    <cellStyle name="Normal 4 3 6 4" xfId="6747" xr:uid="{31F9D299-5588-4EE9-8AFF-C4EDF88A7AAE}"/>
    <cellStyle name="Normal 4 3 6 4 2" xfId="6748" xr:uid="{C6E4BCEB-831C-4952-8025-AA8A6F35F83C}"/>
    <cellStyle name="Normal 4 3 6 4 2 2" xfId="6749" xr:uid="{B78B5A31-6ED6-45E6-A2BF-2E6F1DC16DC4}"/>
    <cellStyle name="Normal 4 3 6 4 2 3" xfId="6750" xr:uid="{F10C20E6-9951-4D8D-918B-56FE3B26FAF8}"/>
    <cellStyle name="Normal 4 3 6 4 3" xfId="6751" xr:uid="{48BBEAA3-CDF1-4C2C-A559-83C6F8732CFB}"/>
    <cellStyle name="Normal 4 3 6 4 4" xfId="6752" xr:uid="{4D9F2470-0681-4773-9873-B8E21374C3DF}"/>
    <cellStyle name="Normal 4 3 6 4 5" xfId="6753" xr:uid="{C4A21B34-0B63-4648-9B59-9EF2873AE3AD}"/>
    <cellStyle name="Normal 4 3 6 5" xfId="6754" xr:uid="{899C8485-6C7C-4179-9E80-692EBFE33116}"/>
    <cellStyle name="Normal 4 3 6 5 2" xfId="6755" xr:uid="{57F6B9A8-8D46-4A59-B264-546BBEF06B6C}"/>
    <cellStyle name="Normal 4 3 6 5 2 2" xfId="6756" xr:uid="{2A821E92-39AF-40FD-A972-37CE5F03444C}"/>
    <cellStyle name="Normal 4 3 6 5 2 3" xfId="6757" xr:uid="{95B42814-D85E-4902-898F-0BD80BC1EC04}"/>
    <cellStyle name="Normal 4 3 6 5 3" xfId="6758" xr:uid="{FF8DFC8D-408D-478C-819C-A81FF8290D33}"/>
    <cellStyle name="Normal 4 3 6 5 4" xfId="6759" xr:uid="{5429E7AD-19F2-4274-A5DF-1D18EACA425F}"/>
    <cellStyle name="Normal 4 3 6 5 5" xfId="6760" xr:uid="{55F5DEE9-583B-47C8-B0F7-92E410095D5C}"/>
    <cellStyle name="Normal 4 3 6 6" xfId="6761" xr:uid="{5CF5F662-E61B-4790-807F-43A22E1F4F38}"/>
    <cellStyle name="Normal 4 3 6 6 2" xfId="6762" xr:uid="{4C10AD61-0B16-40CF-98CE-6B870109C11B}"/>
    <cellStyle name="Normal 4 3 6 6 3" xfId="6763" xr:uid="{0BFCE0D5-A85B-4D79-AE69-F4D8D240F7CA}"/>
    <cellStyle name="Normal 4 3 6 7" xfId="6764" xr:uid="{16D870C2-5908-4DF7-A530-470B24065055}"/>
    <cellStyle name="Normal 4 3 6 8" xfId="6765" xr:uid="{63DE5A6E-1811-4AA7-96C8-503E531E9815}"/>
    <cellStyle name="Normal 4 3 6 9" xfId="6766" xr:uid="{95F0C461-4B42-4DE8-BB7A-579746A1A02A}"/>
    <cellStyle name="Normal 4 3 7" xfId="6767" xr:uid="{9928A7C9-6059-4C4E-A0A3-13C1DA939FAD}"/>
    <cellStyle name="Normal 4 3 7 2" xfId="6768" xr:uid="{3242F588-C8E8-4886-ACFA-264EE9E79179}"/>
    <cellStyle name="Normal 4 3 7 2 2" xfId="6769" xr:uid="{169588B5-101F-46ED-AD82-69281D98E066}"/>
    <cellStyle name="Normal 4 3 7 2 2 2" xfId="6770" xr:uid="{E34FA97D-D43A-46F2-8E47-C6E14B5D726D}"/>
    <cellStyle name="Normal 4 3 7 2 2 2 2" xfId="6771" xr:uid="{2C5E3A9E-490C-4FFE-B0E8-E8938A3FDA62}"/>
    <cellStyle name="Normal 4 3 7 2 2 2 2 2" xfId="6772" xr:uid="{71F2ECF7-307E-41B4-A76F-19BD0F515CBC}"/>
    <cellStyle name="Normal 4 3 7 2 2 2 2 3" xfId="6773" xr:uid="{A501EB1F-4342-4685-AAA4-94B87B2D799A}"/>
    <cellStyle name="Normal 4 3 7 2 2 2 3" xfId="6774" xr:uid="{1F8F7172-DB43-4CF1-B312-DBD48F5F870E}"/>
    <cellStyle name="Normal 4 3 7 2 2 2 4" xfId="6775" xr:uid="{09808558-8E85-47A7-9CF9-5A55976685D3}"/>
    <cellStyle name="Normal 4 3 7 2 2 2 5" xfId="6776" xr:uid="{7364766A-A283-4328-84DE-CC74C748C95D}"/>
    <cellStyle name="Normal 4 3 7 2 2 3" xfId="6777" xr:uid="{3EB03D3C-E3B8-4FF7-A88B-15AC99CA2D1B}"/>
    <cellStyle name="Normal 4 3 7 2 2 3 2" xfId="6778" xr:uid="{A2DDABD3-E5C5-4F39-9927-095629899441}"/>
    <cellStyle name="Normal 4 3 7 2 2 3 2 2" xfId="6779" xr:uid="{CC5AF305-D2B4-4C59-AD70-EBA310827A6D}"/>
    <cellStyle name="Normal 4 3 7 2 2 3 2 3" xfId="6780" xr:uid="{357D9A1A-C045-48FC-80A3-04A7BBECC565}"/>
    <cellStyle name="Normal 4 3 7 2 2 3 3" xfId="6781" xr:uid="{76153955-6906-4917-8B59-102A5E6FC1AE}"/>
    <cellStyle name="Normal 4 3 7 2 2 3 4" xfId="6782" xr:uid="{7BF95F96-BF2D-416F-9FFA-D6DEC2E6B351}"/>
    <cellStyle name="Normal 4 3 7 2 2 3 5" xfId="6783" xr:uid="{13DEA11A-4521-4096-9429-23B1990667F2}"/>
    <cellStyle name="Normal 4 3 7 2 2 4" xfId="6784" xr:uid="{8A7F70DA-2777-4006-B1DA-275E31AB3CF7}"/>
    <cellStyle name="Normal 4 3 7 2 2 4 2" xfId="6785" xr:uid="{E163235A-D527-435F-9A82-716FEA6C789F}"/>
    <cellStyle name="Normal 4 3 7 2 2 4 3" xfId="6786" xr:uid="{AC5F3102-7D92-4FD0-807D-83D1BADADD9E}"/>
    <cellStyle name="Normal 4 3 7 2 2 5" xfId="6787" xr:uid="{F7F0B609-1288-4161-8F49-5D5B17E4A0C2}"/>
    <cellStyle name="Normal 4 3 7 2 2 6" xfId="6788" xr:uid="{DD178368-51C5-47E7-A3BE-7AA2BFD92477}"/>
    <cellStyle name="Normal 4 3 7 2 2 7" xfId="6789" xr:uid="{6920AA25-E1B8-46DB-AE18-D2BBE203C3A6}"/>
    <cellStyle name="Normal 4 3 7 2 3" xfId="6790" xr:uid="{FB5CF2CD-DAB4-424A-80D8-4027EA9B9913}"/>
    <cellStyle name="Normal 4 3 7 2 3 2" xfId="6791" xr:uid="{EED7CD7F-DCD8-48DA-9304-4CB7A9824912}"/>
    <cellStyle name="Normal 4 3 7 2 3 2 2" xfId="6792" xr:uid="{6C6D0EC6-455A-4B2B-98C3-70FA2869BC08}"/>
    <cellStyle name="Normal 4 3 7 2 3 2 3" xfId="6793" xr:uid="{4E11DF1F-A4F8-4A3D-97E4-0448FDB983DD}"/>
    <cellStyle name="Normal 4 3 7 2 3 3" xfId="6794" xr:uid="{AEB09863-F08A-4871-A4FA-03379EC6F6F2}"/>
    <cellStyle name="Normal 4 3 7 2 3 4" xfId="6795" xr:uid="{8916DD0E-DC8C-4C95-9941-C60C5D09454A}"/>
    <cellStyle name="Normal 4 3 7 2 3 5" xfId="6796" xr:uid="{969CBA5A-2FB9-40DD-80C4-76FF2E75FD28}"/>
    <cellStyle name="Normal 4 3 7 2 4" xfId="6797" xr:uid="{D2D1394F-052D-403F-A98D-3CB253E93D4D}"/>
    <cellStyle name="Normal 4 3 7 2 4 2" xfId="6798" xr:uid="{43E5CB9A-71FA-4190-AC10-01E09DBDD858}"/>
    <cellStyle name="Normal 4 3 7 2 4 2 2" xfId="6799" xr:uid="{2DB10E0B-420B-413A-8655-0A26E929D1DC}"/>
    <cellStyle name="Normal 4 3 7 2 4 2 3" xfId="6800" xr:uid="{A5FB9716-DF68-4ABC-9EEC-DBF6C88E9DF0}"/>
    <cellStyle name="Normal 4 3 7 2 4 3" xfId="6801" xr:uid="{DBCD0F76-F57E-4015-AB12-253357A06DA1}"/>
    <cellStyle name="Normal 4 3 7 2 4 4" xfId="6802" xr:uid="{400D84CA-12C0-456C-A058-D73605318EA2}"/>
    <cellStyle name="Normal 4 3 7 2 4 5" xfId="6803" xr:uid="{19BD2D14-4782-4357-90D2-0CE5BEC089E0}"/>
    <cellStyle name="Normal 4 3 7 2 5" xfId="6804" xr:uid="{EDA5580C-8100-4BE7-BC8F-81754DE9849E}"/>
    <cellStyle name="Normal 4 3 7 2 5 2" xfId="6805" xr:uid="{837BBED7-10D3-41CE-A1C5-3CBFBDFC2A38}"/>
    <cellStyle name="Normal 4 3 7 2 5 3" xfId="6806" xr:uid="{3C241EDD-19B6-42E1-B10A-2B5DF9E97C11}"/>
    <cellStyle name="Normal 4 3 7 2 6" xfId="6807" xr:uid="{780E83A7-A745-4627-BC42-27DCB11B3BD8}"/>
    <cellStyle name="Normal 4 3 7 2 7" xfId="6808" xr:uid="{45EC17B0-B775-4F03-B475-C4F74B8607A9}"/>
    <cellStyle name="Normal 4 3 7 2 8" xfId="6809" xr:uid="{5BFE3DDC-BC72-4AC3-BFE5-8C59F1CABE01}"/>
    <cellStyle name="Normal 4 3 7 3" xfId="6810" xr:uid="{1D02A992-7CF2-4292-85DC-D12FB000461E}"/>
    <cellStyle name="Normal 4 3 7 3 2" xfId="6811" xr:uid="{4A9DD32E-A5A9-4DB6-AB22-6E1A57EBA646}"/>
    <cellStyle name="Normal 4 3 7 3 2 2" xfId="6812" xr:uid="{2C4EA116-0805-4B24-91A1-1F0601354615}"/>
    <cellStyle name="Normal 4 3 7 3 2 2 2" xfId="6813" xr:uid="{AFADDB8C-C76F-4CB0-89B9-09CD63F4E283}"/>
    <cellStyle name="Normal 4 3 7 3 2 2 3" xfId="6814" xr:uid="{D61A08EA-2563-4760-9C91-2F93B24611E4}"/>
    <cellStyle name="Normal 4 3 7 3 2 3" xfId="6815" xr:uid="{B338D173-AAC6-4366-BE25-5C70455D9913}"/>
    <cellStyle name="Normal 4 3 7 3 2 4" xfId="6816" xr:uid="{A3F01D6A-FCB1-4225-802C-C9D39FBE6E8A}"/>
    <cellStyle name="Normal 4 3 7 3 2 5" xfId="6817" xr:uid="{449A1A76-0981-4D07-8E3D-9F61FAD66724}"/>
    <cellStyle name="Normal 4 3 7 3 3" xfId="6818" xr:uid="{B5704EE0-E086-41F1-816F-CC440D993A8A}"/>
    <cellStyle name="Normal 4 3 7 3 3 2" xfId="6819" xr:uid="{D17358F9-D760-4672-AC0F-FA9C5E775D95}"/>
    <cellStyle name="Normal 4 3 7 3 3 2 2" xfId="6820" xr:uid="{E700FAE0-632A-43E9-98D7-310AD25A40D4}"/>
    <cellStyle name="Normal 4 3 7 3 3 2 3" xfId="6821" xr:uid="{E2FBE805-A081-46B9-9857-BC2BA3A5526C}"/>
    <cellStyle name="Normal 4 3 7 3 3 3" xfId="6822" xr:uid="{A2C4663D-9E06-4E9D-9F05-0C4B397F3CD5}"/>
    <cellStyle name="Normal 4 3 7 3 3 4" xfId="6823" xr:uid="{EB1D7CD2-AF86-417E-8251-82126E4C4175}"/>
    <cellStyle name="Normal 4 3 7 3 3 5" xfId="6824" xr:uid="{63B79130-B1B9-4233-B4EF-3A7996B4B244}"/>
    <cellStyle name="Normal 4 3 7 3 4" xfId="6825" xr:uid="{FD64FA34-AAFF-4F78-A9BB-A50B09DF45A0}"/>
    <cellStyle name="Normal 4 3 7 3 4 2" xfId="6826" xr:uid="{9F8422AF-D897-4973-BBD4-658F4E671FAE}"/>
    <cellStyle name="Normal 4 3 7 3 4 3" xfId="6827" xr:uid="{57206EA8-61A6-4C07-9CDE-A34DD0675933}"/>
    <cellStyle name="Normal 4 3 7 3 5" xfId="6828" xr:uid="{C0D4220A-3905-498A-B6D6-294995BE2DED}"/>
    <cellStyle name="Normal 4 3 7 3 6" xfId="6829" xr:uid="{E1DAA784-DC4D-41A7-9422-35A96848F32D}"/>
    <cellStyle name="Normal 4 3 7 3 7" xfId="6830" xr:uid="{67DBD7C4-DB37-47F8-B782-D1E1834062E5}"/>
    <cellStyle name="Normal 4 3 7 4" xfId="6831" xr:uid="{C740BECC-2F39-4F3D-A817-F8B9DAD70E9F}"/>
    <cellStyle name="Normal 4 3 7 4 2" xfId="6832" xr:uid="{94F4453F-E85B-449D-A0DC-166B5601F409}"/>
    <cellStyle name="Normal 4 3 7 4 2 2" xfId="6833" xr:uid="{46826C91-7985-4A25-866C-DE68D488AF5C}"/>
    <cellStyle name="Normal 4 3 7 4 2 3" xfId="6834" xr:uid="{077C5843-4A71-4DD6-B1C2-AA7EA80C877A}"/>
    <cellStyle name="Normal 4 3 7 4 3" xfId="6835" xr:uid="{AE2A8A87-E895-4D9C-87F5-C026C2D5E735}"/>
    <cellStyle name="Normal 4 3 7 4 4" xfId="6836" xr:uid="{B77A44E0-79B5-47DD-BCDF-A5F4ACBA1349}"/>
    <cellStyle name="Normal 4 3 7 4 5" xfId="6837" xr:uid="{3A8076A8-250B-439B-AD93-1C8E80A30164}"/>
    <cellStyle name="Normal 4 3 7 5" xfId="6838" xr:uid="{82B8C39E-047A-4179-9F7C-192AD3FD24B5}"/>
    <cellStyle name="Normal 4 3 7 5 2" xfId="6839" xr:uid="{AC16604E-5025-4B19-864E-FB52E44E2979}"/>
    <cellStyle name="Normal 4 3 7 5 2 2" xfId="6840" xr:uid="{AA4D8EC6-EFFE-4587-BCC4-334780DAB799}"/>
    <cellStyle name="Normal 4 3 7 5 2 3" xfId="6841" xr:uid="{2E1F3F58-B055-44DE-B363-355625A474B0}"/>
    <cellStyle name="Normal 4 3 7 5 3" xfId="6842" xr:uid="{5CE92918-B178-4F46-827C-8276CFF5BE24}"/>
    <cellStyle name="Normal 4 3 7 5 4" xfId="6843" xr:uid="{360F4469-826F-467B-BAA7-2840C09CAD41}"/>
    <cellStyle name="Normal 4 3 7 5 5" xfId="6844" xr:uid="{B93A98AC-92BF-4663-8424-DCAAB2909281}"/>
    <cellStyle name="Normal 4 3 7 6" xfId="6845" xr:uid="{51DF38C1-8839-4D0F-AC7F-E62280D78652}"/>
    <cellStyle name="Normal 4 3 7 6 2" xfId="6846" xr:uid="{13CD30F0-B9E0-4FC1-AA28-5D2B5A56EF9A}"/>
    <cellStyle name="Normal 4 3 7 6 3" xfId="6847" xr:uid="{BEE648F3-FB70-4C85-80DF-F0725CC81E96}"/>
    <cellStyle name="Normal 4 3 7 7" xfId="6848" xr:uid="{FE1C767F-9D02-4D92-88A1-D8B45D7185F7}"/>
    <cellStyle name="Normal 4 3 7 8" xfId="6849" xr:uid="{59EA7294-1AE5-4F83-9B5D-ECBC145CD4D2}"/>
    <cellStyle name="Normal 4 3 7 9" xfId="6850" xr:uid="{C23CCF6E-3627-432C-8800-65F20266E55B}"/>
    <cellStyle name="Normal 4 3 8" xfId="6851" xr:uid="{9A4EBFAA-0F4B-4C18-9977-4C171D748069}"/>
    <cellStyle name="Normal 4 3 8 2" xfId="6852" xr:uid="{594F1529-D2CA-4B72-9F9C-8D39339D24E3}"/>
    <cellStyle name="Normal 4 3 8 2 2" xfId="6853" xr:uid="{CA62858C-C5E6-498E-9510-C755C1EDE832}"/>
    <cellStyle name="Normal 4 3 8 2 2 2" xfId="6854" xr:uid="{061D8300-14FD-4C4B-A2D9-2AE926A334CC}"/>
    <cellStyle name="Normal 4 3 8 2 2 2 2" xfId="6855" xr:uid="{70C6DD19-E765-4A8B-83B0-FD8F77E6C138}"/>
    <cellStyle name="Normal 4 3 8 2 2 2 3" xfId="6856" xr:uid="{1FE6C4EF-B24D-4327-8813-BEC1384C3769}"/>
    <cellStyle name="Normal 4 3 8 2 2 3" xfId="6857" xr:uid="{6722AE51-92CB-4928-9C98-1B11D7700300}"/>
    <cellStyle name="Normal 4 3 8 2 2 4" xfId="6858" xr:uid="{7CFEBA7E-F98E-4554-B882-824B819AE5E8}"/>
    <cellStyle name="Normal 4 3 8 2 2 5" xfId="6859" xr:uid="{8EF57861-D774-4635-8010-3C76EBE82C42}"/>
    <cellStyle name="Normal 4 3 8 2 3" xfId="6860" xr:uid="{317215E2-C1DF-453E-9568-D218AB7B2E54}"/>
    <cellStyle name="Normal 4 3 8 2 3 2" xfId="6861" xr:uid="{675C24A7-260B-47CF-9476-47E3F69C5FF5}"/>
    <cellStyle name="Normal 4 3 8 2 3 2 2" xfId="6862" xr:uid="{4001F829-0B23-4738-9B14-0422A1980731}"/>
    <cellStyle name="Normal 4 3 8 2 3 2 3" xfId="6863" xr:uid="{2031161A-5E1F-4C66-8BF0-C8BAB562A8D1}"/>
    <cellStyle name="Normal 4 3 8 2 3 3" xfId="6864" xr:uid="{30780A88-0C98-4A82-93EF-59118148C493}"/>
    <cellStyle name="Normal 4 3 8 2 3 4" xfId="6865" xr:uid="{2F4DA82F-5705-4CD8-A240-E69BD41EF6F0}"/>
    <cellStyle name="Normal 4 3 8 2 3 5" xfId="6866" xr:uid="{16E01080-50FA-4F57-A2E7-C04E1D5497B9}"/>
    <cellStyle name="Normal 4 3 8 2 4" xfId="6867" xr:uid="{7876FF75-BD9D-4361-9F57-B3150D9A5B95}"/>
    <cellStyle name="Normal 4 3 8 2 4 2" xfId="6868" xr:uid="{491AA4E9-0848-43A6-8D7A-22CDA142407A}"/>
    <cellStyle name="Normal 4 3 8 2 4 3" xfId="6869" xr:uid="{0BD89961-21B9-46A7-BF9F-B6C6CEC4576B}"/>
    <cellStyle name="Normal 4 3 8 2 5" xfId="6870" xr:uid="{4DE9113A-2A17-4C69-955A-F2DEF59FD121}"/>
    <cellStyle name="Normal 4 3 8 2 6" xfId="6871" xr:uid="{E4144EC3-9F84-4973-AD56-A931894FB440}"/>
    <cellStyle name="Normal 4 3 8 2 7" xfId="6872" xr:uid="{97F8B07B-B18F-4E4B-AE54-41935977A1A3}"/>
    <cellStyle name="Normal 4 3 8 3" xfId="6873" xr:uid="{3CE78BF8-B629-479A-A117-3DEB6F72863B}"/>
    <cellStyle name="Normal 4 3 8 3 2" xfId="6874" xr:uid="{73E6BA7E-AF7E-4C75-AB66-168DBF31FE50}"/>
    <cellStyle name="Normal 4 3 8 3 2 2" xfId="6875" xr:uid="{81E75ABC-A815-4C68-ACC8-ACC3FF8EE504}"/>
    <cellStyle name="Normal 4 3 8 3 2 3" xfId="6876" xr:uid="{B3A12676-142E-45CF-BE96-0027FFED4FBA}"/>
    <cellStyle name="Normal 4 3 8 3 3" xfId="6877" xr:uid="{D38FED6B-F435-4151-94D5-7C6EBB396462}"/>
    <cellStyle name="Normal 4 3 8 3 4" xfId="6878" xr:uid="{BCD51E14-DF43-4919-A143-D73C7453D6D7}"/>
    <cellStyle name="Normal 4 3 8 3 5" xfId="6879" xr:uid="{139984D2-CB93-42CB-A165-3ADEA9D0FDCA}"/>
    <cellStyle name="Normal 4 3 8 4" xfId="6880" xr:uid="{F4B16350-E249-4666-B82C-6768502D38DC}"/>
    <cellStyle name="Normal 4 3 8 4 2" xfId="6881" xr:uid="{B25CDCE1-8AF2-4F92-AA5E-D2761CD225DF}"/>
    <cellStyle name="Normal 4 3 8 4 2 2" xfId="6882" xr:uid="{A54A0C93-B23F-4D8F-9412-46BD61752AF5}"/>
    <cellStyle name="Normal 4 3 8 4 2 3" xfId="6883" xr:uid="{41227701-346D-4828-B564-5B127A2D8A80}"/>
    <cellStyle name="Normal 4 3 8 4 3" xfId="6884" xr:uid="{EE9CED57-2B4B-47A7-B6F1-B35EAE877761}"/>
    <cellStyle name="Normal 4 3 8 4 4" xfId="6885" xr:uid="{5DC611DC-733F-4CAE-8C9F-7AC8E87CC4DE}"/>
    <cellStyle name="Normal 4 3 8 4 5" xfId="6886" xr:uid="{EB7D147A-6B40-4A20-B7F6-452FDF044841}"/>
    <cellStyle name="Normal 4 3 8 5" xfId="6887" xr:uid="{1A0ADA7B-3476-420C-B146-0787A6B93734}"/>
    <cellStyle name="Normal 4 3 8 5 2" xfId="6888" xr:uid="{5DA8A296-79B7-4AD7-8832-DCAB7963F088}"/>
    <cellStyle name="Normal 4 3 8 5 3" xfId="6889" xr:uid="{3E53482E-FE1F-485C-B5D3-A69D9B3405BF}"/>
    <cellStyle name="Normal 4 3 8 6" xfId="6890" xr:uid="{3D10B0AF-82E3-43DE-8DCC-3D8829345D32}"/>
    <cellStyle name="Normal 4 3 8 7" xfId="6891" xr:uid="{968B8E52-10DC-49B4-976A-A5D57937BD32}"/>
    <cellStyle name="Normal 4 3 8 8" xfId="6892" xr:uid="{88714D67-EB26-4E40-A118-8B9584F208E4}"/>
    <cellStyle name="Normal 4 3 9" xfId="6893" xr:uid="{C6C5C80C-1819-48D0-AA29-15D48CAA3795}"/>
    <cellStyle name="Normal 4 3 9 2" xfId="6894" xr:uid="{D9361C2A-BCDE-4282-A4BC-BA13D4C4F56B}"/>
    <cellStyle name="Normal 4 3 9 2 2" xfId="6895" xr:uid="{BDCF3546-F618-45B4-8601-D94A71CE55C5}"/>
    <cellStyle name="Normal 4 3 9 2 2 2" xfId="6896" xr:uid="{8242038F-CB77-4A38-B41D-713B69630786}"/>
    <cellStyle name="Normal 4 3 9 2 2 3" xfId="6897" xr:uid="{BF888301-F32D-41CB-B7E8-744A6BDE6C97}"/>
    <cellStyle name="Normal 4 3 9 2 3" xfId="6898" xr:uid="{2620ECBE-B9CC-457E-884F-4313C28614F6}"/>
    <cellStyle name="Normal 4 3 9 2 4" xfId="6899" xr:uid="{5D0F4663-E8E4-4BDD-8881-DE6E1098EFAF}"/>
    <cellStyle name="Normal 4 3 9 2 5" xfId="6900" xr:uid="{7E7D2A98-2D7C-44FF-88CE-8CC6E8B08390}"/>
    <cellStyle name="Normal 4 3 9 3" xfId="6901" xr:uid="{62F1A181-A578-4C40-A3BF-C113BB2E7345}"/>
    <cellStyle name="Normal 4 3 9 3 2" xfId="6902" xr:uid="{7FEB4FE1-1803-4F20-BF68-9BD14F39E409}"/>
    <cellStyle name="Normal 4 3 9 3 2 2" xfId="6903" xr:uid="{CD726D2F-C465-448F-9AB6-A8283CE206A8}"/>
    <cellStyle name="Normal 4 3 9 3 2 3" xfId="6904" xr:uid="{A142557F-555C-4D0E-A55F-C5439DF3FCF0}"/>
    <cellStyle name="Normal 4 3 9 3 3" xfId="6905" xr:uid="{0F622332-3F2C-463F-8584-48CE9CD41733}"/>
    <cellStyle name="Normal 4 3 9 3 4" xfId="6906" xr:uid="{133074B0-77E8-4058-803F-EB74292A829C}"/>
    <cellStyle name="Normal 4 3 9 3 5" xfId="6907" xr:uid="{21A4B1FC-88B2-4161-9B55-D3C5E7664CA1}"/>
    <cellStyle name="Normal 4 3 9 4" xfId="6908" xr:uid="{9D5F7F07-D2EB-46D5-8AFC-C59731DB0871}"/>
    <cellStyle name="Normal 4 3 9 4 2" xfId="6909" xr:uid="{6EFF18C1-B626-40F5-A388-5883DD1723C0}"/>
    <cellStyle name="Normal 4 3 9 4 3" xfId="6910" xr:uid="{A40A4BC7-6ECD-4DA5-B84F-3C5D4F28AFC2}"/>
    <cellStyle name="Normal 4 3 9 5" xfId="6911" xr:uid="{B66E879F-A7FF-48EF-A30A-5A9EE8523D55}"/>
    <cellStyle name="Normal 4 3 9 6" xfId="6912" xr:uid="{95535249-1E80-4992-B0F1-8480166808FC}"/>
    <cellStyle name="Normal 4 3 9 7" xfId="6913" xr:uid="{D8864296-F3AC-48AD-A6AE-3C99864A9097}"/>
    <cellStyle name="Normal 4 4" xfId="551" xr:uid="{7A0CFC03-3F11-4D59-A0CD-31BB1F09D895}"/>
    <cellStyle name="Normal 4 4 10" xfId="6914" xr:uid="{FA0669EA-3C08-4494-9B83-F9BE8367E0DB}"/>
    <cellStyle name="Normal 4 4 10 2" xfId="6915" xr:uid="{F77881D8-C53B-4742-84F9-08183A5EB23D}"/>
    <cellStyle name="Normal 4 4 10 2 2" xfId="6916" xr:uid="{859F6EB1-A126-4D2B-BC1C-A948333DA99C}"/>
    <cellStyle name="Normal 4 4 10 2 3" xfId="6917" xr:uid="{A9E8322D-FE99-44D3-A29F-E39EBEEAF363}"/>
    <cellStyle name="Normal 4 4 10 3" xfId="6918" xr:uid="{2D7C2BEC-8E5A-4FE0-98F2-BBA6750FD0DA}"/>
    <cellStyle name="Normal 4 4 10 4" xfId="6919" xr:uid="{22E80BBD-5980-426A-BF14-ECE35DD917B8}"/>
    <cellStyle name="Normal 4 4 10 5" xfId="6920" xr:uid="{890BFE44-0510-425E-9B7A-7BFEED38EC69}"/>
    <cellStyle name="Normal 4 4 11" xfId="6921" xr:uid="{4D154120-2968-4F93-A059-29E2870F9C58}"/>
    <cellStyle name="Normal 4 4 11 2" xfId="6922" xr:uid="{705F0394-5F16-467F-A6A0-AF9CC1EBE423}"/>
    <cellStyle name="Normal 4 4 11 3" xfId="6923" xr:uid="{445C7310-0D7D-47E2-B9EA-E7671970A68D}"/>
    <cellStyle name="Normal 4 4 12" xfId="6924" xr:uid="{DD783576-CB6B-4E7E-9D5B-D9FE128499DC}"/>
    <cellStyle name="Normal 4 4 13" xfId="6925" xr:uid="{C3E61D0E-1D34-47E3-A7B5-0F16C4419897}"/>
    <cellStyle name="Normal 4 4 14" xfId="6926" xr:uid="{22614395-1F3C-4B06-917B-7F9D2FBA71E0}"/>
    <cellStyle name="Normal 4 4 15" xfId="1107" xr:uid="{51F42F0B-5581-4B01-A28D-85E079B17277}"/>
    <cellStyle name="Normal 4 4 2" xfId="6927" xr:uid="{49EA726F-FD44-4D4B-931A-9D587DD40C47}"/>
    <cellStyle name="Normal 4 4 2 10" xfId="6928" xr:uid="{6183FB76-57F5-41AC-8D05-11003BAC4DD6}"/>
    <cellStyle name="Normal 4 4 2 10 2" xfId="6929" xr:uid="{A3E8B579-4D9B-4DA2-A234-FAFC435F36E2}"/>
    <cellStyle name="Normal 4 4 2 10 3" xfId="6930" xr:uid="{E9BE3E2D-8033-408D-99A4-A195AAEED979}"/>
    <cellStyle name="Normal 4 4 2 11" xfId="6931" xr:uid="{52BD382A-5546-4D1D-A2CA-90D44061E3B5}"/>
    <cellStyle name="Normal 4 4 2 12" xfId="6932" xr:uid="{9A646A55-ECA7-4F78-8EF4-3555C7A35188}"/>
    <cellStyle name="Normal 4 4 2 13" xfId="6933" xr:uid="{24A533E0-1E9D-48F8-A3E1-585575B97493}"/>
    <cellStyle name="Normal 4 4 2 2" xfId="6934" xr:uid="{673754DD-10A5-4B7B-9343-079BBC71C553}"/>
    <cellStyle name="Normal 4 4 2 2 2" xfId="6935" xr:uid="{2EDE8394-6F88-45D7-B226-D6AD081D35A2}"/>
    <cellStyle name="Normal 4 4 2 2 2 2" xfId="6936" xr:uid="{6890C249-C218-4576-A93D-BDCFC4681AF0}"/>
    <cellStyle name="Normal 4 4 2 2 2 2 2" xfId="6937" xr:uid="{2777798F-6058-422D-898A-A3466ABEADDB}"/>
    <cellStyle name="Normal 4 4 2 2 2 2 2 2" xfId="6938" xr:uid="{C7A99F69-D1F0-44F4-99ED-B4407159017D}"/>
    <cellStyle name="Normal 4 4 2 2 2 2 2 2 2" xfId="6939" xr:uid="{EEF2F6CD-161B-4F44-AF6B-82D8E66398C8}"/>
    <cellStyle name="Normal 4 4 2 2 2 2 2 2 3" xfId="6940" xr:uid="{97FE22BF-983B-4E83-AD01-74E42771D684}"/>
    <cellStyle name="Normal 4 4 2 2 2 2 2 3" xfId="6941" xr:uid="{43386071-0831-4CDC-9E31-B218F69A9AE0}"/>
    <cellStyle name="Normal 4 4 2 2 2 2 2 4" xfId="6942" xr:uid="{DD91729D-DD52-4E82-8DB4-5F807A092897}"/>
    <cellStyle name="Normal 4 4 2 2 2 2 2 5" xfId="6943" xr:uid="{1FC42DF7-2C2C-462E-83C8-D2D873F563FC}"/>
    <cellStyle name="Normal 4 4 2 2 2 2 3" xfId="6944" xr:uid="{201E9E65-AC19-4A3B-B7A2-2696DF03229F}"/>
    <cellStyle name="Normal 4 4 2 2 2 2 3 2" xfId="6945" xr:uid="{35E145BB-7F8A-444D-92B6-5DAACC05C854}"/>
    <cellStyle name="Normal 4 4 2 2 2 2 3 2 2" xfId="6946" xr:uid="{2DE092CE-1EAA-405F-958F-2B50EEB87816}"/>
    <cellStyle name="Normal 4 4 2 2 2 2 3 2 3" xfId="6947" xr:uid="{FB810DB1-9764-4973-A58E-260FD8825D85}"/>
    <cellStyle name="Normal 4 4 2 2 2 2 3 3" xfId="6948" xr:uid="{9E368DC7-6605-404E-9BED-794B3F50C254}"/>
    <cellStyle name="Normal 4 4 2 2 2 2 3 4" xfId="6949" xr:uid="{D234E941-2F0E-4D93-BAE7-8440FBA5988D}"/>
    <cellStyle name="Normal 4 4 2 2 2 2 3 5" xfId="6950" xr:uid="{906ECAB7-712E-4D4D-86E0-EAC13B22492E}"/>
    <cellStyle name="Normal 4 4 2 2 2 2 4" xfId="6951" xr:uid="{60A69AE7-2381-40FC-BEBD-10E38F69D314}"/>
    <cellStyle name="Normal 4 4 2 2 2 2 4 2" xfId="6952" xr:uid="{0722E2D2-2F5C-4EA7-AC9B-77B9C6560ADE}"/>
    <cellStyle name="Normal 4 4 2 2 2 2 4 3" xfId="6953" xr:uid="{C6F15C16-DB34-45C4-B603-C7744D2834A2}"/>
    <cellStyle name="Normal 4 4 2 2 2 2 5" xfId="6954" xr:uid="{EB95BB76-C41A-417B-8690-5CF7FC35C6E1}"/>
    <cellStyle name="Normal 4 4 2 2 2 2 6" xfId="6955" xr:uid="{1A715406-A843-48B4-8287-4967BDFFD529}"/>
    <cellStyle name="Normal 4 4 2 2 2 2 7" xfId="6956" xr:uid="{F978FE85-EB77-4165-8AC3-BAA3F49CA449}"/>
    <cellStyle name="Normal 4 4 2 2 2 3" xfId="6957" xr:uid="{47B93748-2CAD-405C-A926-2E602798A014}"/>
    <cellStyle name="Normal 4 4 2 2 2 3 2" xfId="6958" xr:uid="{3EEE5A42-2265-4662-8E91-0E5D872251B7}"/>
    <cellStyle name="Normal 4 4 2 2 2 3 2 2" xfId="6959" xr:uid="{725ACD1F-6D4F-43FC-AB77-63E356AF2F47}"/>
    <cellStyle name="Normal 4 4 2 2 2 3 2 3" xfId="6960" xr:uid="{C7C620EC-8DCD-4FF3-94E4-64C45FF2C74D}"/>
    <cellStyle name="Normal 4 4 2 2 2 3 3" xfId="6961" xr:uid="{48233EB7-FB3F-41B6-9923-49F2FAFD9B35}"/>
    <cellStyle name="Normal 4 4 2 2 2 3 4" xfId="6962" xr:uid="{1A612593-75D1-4AE5-99EE-84D659A74FB9}"/>
    <cellStyle name="Normal 4 4 2 2 2 3 5" xfId="6963" xr:uid="{23A924F4-C1C4-4F47-AF0E-4E1D67A2D5F3}"/>
    <cellStyle name="Normal 4 4 2 2 2 4" xfId="6964" xr:uid="{73AF77BD-8056-4217-BDA8-BE490684ECC8}"/>
    <cellStyle name="Normal 4 4 2 2 2 4 2" xfId="6965" xr:uid="{1BB2856D-EB1E-4BCD-A001-31C896CBECBD}"/>
    <cellStyle name="Normal 4 4 2 2 2 4 2 2" xfId="6966" xr:uid="{BA65430F-E311-4AE7-8623-C570552C32DD}"/>
    <cellStyle name="Normal 4 4 2 2 2 4 2 3" xfId="6967" xr:uid="{B45CEC90-1AAD-4931-90F8-5D19F7D29E35}"/>
    <cellStyle name="Normal 4 4 2 2 2 4 3" xfId="6968" xr:uid="{459D3E0B-F794-4936-A3DE-BFF6AA2EB139}"/>
    <cellStyle name="Normal 4 4 2 2 2 4 4" xfId="6969" xr:uid="{C4C4A78A-A9B4-4018-9016-901359AEC52E}"/>
    <cellStyle name="Normal 4 4 2 2 2 4 5" xfId="6970" xr:uid="{27A5B043-6B50-455E-B230-04C6E2CD0625}"/>
    <cellStyle name="Normal 4 4 2 2 2 5" xfId="6971" xr:uid="{B797EEA1-FA75-4B5F-918C-70855E58FE11}"/>
    <cellStyle name="Normal 4 4 2 2 2 5 2" xfId="6972" xr:uid="{DD082292-A3D5-41CD-8AC7-B5BF4424D459}"/>
    <cellStyle name="Normal 4 4 2 2 2 5 3" xfId="6973" xr:uid="{44D190AF-22F6-4E5F-A1DF-963CA11BA8C7}"/>
    <cellStyle name="Normal 4 4 2 2 2 6" xfId="6974" xr:uid="{24DE91FD-894E-4CA2-AF61-633E1CD4216F}"/>
    <cellStyle name="Normal 4 4 2 2 2 7" xfId="6975" xr:uid="{5942433C-CDC2-4296-A300-E2F521D4D412}"/>
    <cellStyle name="Normal 4 4 2 2 2 8" xfId="6976" xr:uid="{4CA09D7C-0198-4CCC-B86D-1B01192A237C}"/>
    <cellStyle name="Normal 4 4 2 2 3" xfId="6977" xr:uid="{7F46A145-E206-4174-AE70-7F902EE1BBAC}"/>
    <cellStyle name="Normal 4 4 2 2 3 2" xfId="6978" xr:uid="{A1743C03-3192-4E2E-A3D6-2A83206AC0C8}"/>
    <cellStyle name="Normal 4 4 2 2 3 2 2" xfId="6979" xr:uid="{00AF26CD-E0AA-4E98-9864-1BDA1B99FE62}"/>
    <cellStyle name="Normal 4 4 2 2 3 2 2 2" xfId="6980" xr:uid="{36319FED-2EF6-4550-9011-16051D3FDFFC}"/>
    <cellStyle name="Normal 4 4 2 2 3 2 2 3" xfId="6981" xr:uid="{AE093670-A05A-4584-942A-ACFDD75D5B87}"/>
    <cellStyle name="Normal 4 4 2 2 3 2 3" xfId="6982" xr:uid="{6A62DABF-011A-403C-A722-F90F76528119}"/>
    <cellStyle name="Normal 4 4 2 2 3 2 4" xfId="6983" xr:uid="{30276222-378B-4B29-9C95-96999E79A959}"/>
    <cellStyle name="Normal 4 4 2 2 3 2 5" xfId="6984" xr:uid="{3304761B-3BB0-4F95-819D-D4B013286D18}"/>
    <cellStyle name="Normal 4 4 2 2 3 3" xfId="6985" xr:uid="{6C19A8FF-0A58-46DC-8C52-5F934783334A}"/>
    <cellStyle name="Normal 4 4 2 2 3 3 2" xfId="6986" xr:uid="{08D9AA70-097E-4B68-B0A2-D4EE4C4C5ADA}"/>
    <cellStyle name="Normal 4 4 2 2 3 3 2 2" xfId="6987" xr:uid="{EA9A9B49-8AB0-4A4E-AAB1-24394D640CEA}"/>
    <cellStyle name="Normal 4 4 2 2 3 3 2 3" xfId="6988" xr:uid="{67F197A3-8495-4EC7-820B-3E1AE3296DDE}"/>
    <cellStyle name="Normal 4 4 2 2 3 3 3" xfId="6989" xr:uid="{3970A8A6-1C45-495F-9606-7287F9D6F65B}"/>
    <cellStyle name="Normal 4 4 2 2 3 3 4" xfId="6990" xr:uid="{244279C5-EE76-4B7F-98F9-0BB1EBF57F4A}"/>
    <cellStyle name="Normal 4 4 2 2 3 3 5" xfId="6991" xr:uid="{989B8FE9-E6E1-4655-B4E4-175BF7086395}"/>
    <cellStyle name="Normal 4 4 2 2 3 4" xfId="6992" xr:uid="{266F690F-078A-4B38-85DF-1968B6E5C722}"/>
    <cellStyle name="Normal 4 4 2 2 3 4 2" xfId="6993" xr:uid="{11E0FCDB-8ADE-4921-98DD-4227629507C0}"/>
    <cellStyle name="Normal 4 4 2 2 3 4 3" xfId="6994" xr:uid="{C60B7F5D-DD6D-4163-A4B8-E1A2FC52895B}"/>
    <cellStyle name="Normal 4 4 2 2 3 5" xfId="6995" xr:uid="{27EE28A6-9880-4BE9-9066-22B9C4CCBB5A}"/>
    <cellStyle name="Normal 4 4 2 2 3 6" xfId="6996" xr:uid="{FBA1F690-D67D-4156-B8C8-452CD391FD55}"/>
    <cellStyle name="Normal 4 4 2 2 3 7" xfId="6997" xr:uid="{0133B685-2EB6-48A3-B5BE-F58088D81CD1}"/>
    <cellStyle name="Normal 4 4 2 2 4" xfId="6998" xr:uid="{66F7E04C-38D6-4D5D-9B04-74D7CC2AD063}"/>
    <cellStyle name="Normal 4 4 2 2 4 2" xfId="6999" xr:uid="{76877074-FDD3-4E7E-8C03-8964555CEFDB}"/>
    <cellStyle name="Normal 4 4 2 2 4 2 2" xfId="7000" xr:uid="{13E17028-5D10-483E-B65E-BF158B83AC93}"/>
    <cellStyle name="Normal 4 4 2 2 4 2 3" xfId="7001" xr:uid="{04401276-897B-4A4F-90CF-373365BA1933}"/>
    <cellStyle name="Normal 4 4 2 2 4 3" xfId="7002" xr:uid="{4E0763CE-DBD7-49A1-A382-5A3821B6845D}"/>
    <cellStyle name="Normal 4 4 2 2 4 4" xfId="7003" xr:uid="{6CCC7E1D-4DEC-46A9-AB78-48E23EE18C1D}"/>
    <cellStyle name="Normal 4 4 2 2 4 5" xfId="7004" xr:uid="{1DAAF988-581D-4E3B-8EDD-DFD50C111D8C}"/>
    <cellStyle name="Normal 4 4 2 2 5" xfId="7005" xr:uid="{8794B08E-6404-4EF7-9546-AA6D94E33A5F}"/>
    <cellStyle name="Normal 4 4 2 2 5 2" xfId="7006" xr:uid="{6DA66013-09B8-483E-BAB6-7A3645421B93}"/>
    <cellStyle name="Normal 4 4 2 2 5 2 2" xfId="7007" xr:uid="{FC49BE4E-89CD-4D4B-87B8-D848ED89CD60}"/>
    <cellStyle name="Normal 4 4 2 2 5 2 3" xfId="7008" xr:uid="{4B78E959-3F30-45D2-A588-6DDD27B32063}"/>
    <cellStyle name="Normal 4 4 2 2 5 3" xfId="7009" xr:uid="{5C2D7FA7-EB21-4255-863C-9ABC9A3B65C2}"/>
    <cellStyle name="Normal 4 4 2 2 5 4" xfId="7010" xr:uid="{C85A5B0E-6A8A-4BD8-9270-D22DE90701DD}"/>
    <cellStyle name="Normal 4 4 2 2 5 5" xfId="7011" xr:uid="{B47A55C8-AA83-4437-8821-DF74D9A94C56}"/>
    <cellStyle name="Normal 4 4 2 2 6" xfId="7012" xr:uid="{D26A7947-040B-4218-96E3-392972B83716}"/>
    <cellStyle name="Normal 4 4 2 2 6 2" xfId="7013" xr:uid="{6E1EA248-3900-404E-8EB9-4714705245D8}"/>
    <cellStyle name="Normal 4 4 2 2 6 3" xfId="7014" xr:uid="{716F21DF-EFEB-424F-BA0A-7337421847D4}"/>
    <cellStyle name="Normal 4 4 2 2 7" xfId="7015" xr:uid="{1A838EAB-2573-4579-B7BA-2AAAC781B38B}"/>
    <cellStyle name="Normal 4 4 2 2 8" xfId="7016" xr:uid="{83BE71D9-4CAD-4CD3-8D64-03BC3D06D179}"/>
    <cellStyle name="Normal 4 4 2 2 9" xfId="7017" xr:uid="{091F3178-DDE4-4BEA-B416-857488CFF954}"/>
    <cellStyle name="Normal 4 4 2 3" xfId="7018" xr:uid="{4AEEFCD0-DD21-42F6-969D-79BFC762BB64}"/>
    <cellStyle name="Normal 4 4 2 3 2" xfId="7019" xr:uid="{9884BC17-DBC6-4113-81E2-89BD5C5DF16B}"/>
    <cellStyle name="Normal 4 4 2 3 2 2" xfId="7020" xr:uid="{81DC92C6-E3F8-4005-A418-8425316590D7}"/>
    <cellStyle name="Normal 4 4 2 3 2 2 2" xfId="7021" xr:uid="{9AE67E03-9E9D-4B6B-AFAD-61B9FD8E5C9B}"/>
    <cellStyle name="Normal 4 4 2 3 2 2 2 2" xfId="7022" xr:uid="{3ED29AB7-3F01-4306-9558-A5B428280EF4}"/>
    <cellStyle name="Normal 4 4 2 3 2 2 2 2 2" xfId="7023" xr:uid="{E9D8E34B-8CFF-408F-BE7C-DA7AEBA07C2D}"/>
    <cellStyle name="Normal 4 4 2 3 2 2 2 2 3" xfId="7024" xr:uid="{6E52C9F8-3E06-4C0B-95DA-651917FBD4E9}"/>
    <cellStyle name="Normal 4 4 2 3 2 2 2 3" xfId="7025" xr:uid="{38893969-49E2-4321-8696-8B35E99F4CCB}"/>
    <cellStyle name="Normal 4 4 2 3 2 2 2 4" xfId="7026" xr:uid="{747DC42B-E9A1-4710-A83B-588323C284E7}"/>
    <cellStyle name="Normal 4 4 2 3 2 2 2 5" xfId="7027" xr:uid="{B85848DA-7888-4A71-8C76-41DEBC4175DE}"/>
    <cellStyle name="Normal 4 4 2 3 2 2 3" xfId="7028" xr:uid="{316A3A96-65C0-4F4D-946C-BFEDFCE2C469}"/>
    <cellStyle name="Normal 4 4 2 3 2 2 3 2" xfId="7029" xr:uid="{9DDF351C-EED7-43FB-9DFE-C431087EE463}"/>
    <cellStyle name="Normal 4 4 2 3 2 2 3 2 2" xfId="7030" xr:uid="{2263D578-04ED-41F3-9503-370F318C1C7F}"/>
    <cellStyle name="Normal 4 4 2 3 2 2 3 2 3" xfId="7031" xr:uid="{0B40B613-0FEA-4F1F-BC59-766DFBDFA3AB}"/>
    <cellStyle name="Normal 4 4 2 3 2 2 3 3" xfId="7032" xr:uid="{3B4ED34F-C011-4D86-834E-A6DBA09431B0}"/>
    <cellStyle name="Normal 4 4 2 3 2 2 3 4" xfId="7033" xr:uid="{382B0788-154B-43FB-9E1F-42F23649B316}"/>
    <cellStyle name="Normal 4 4 2 3 2 2 3 5" xfId="7034" xr:uid="{4BE375ED-23E5-45BC-A0FE-2C2AE296D9F1}"/>
    <cellStyle name="Normal 4 4 2 3 2 2 4" xfId="7035" xr:uid="{81F476AB-CCA9-4C09-96A9-509DFCFBCBAB}"/>
    <cellStyle name="Normal 4 4 2 3 2 2 4 2" xfId="7036" xr:uid="{16E9824C-091F-4763-A33D-4963C1203B23}"/>
    <cellStyle name="Normal 4 4 2 3 2 2 4 3" xfId="7037" xr:uid="{537F1D2E-4B4A-4343-BD8D-9A9E9A1C9DB1}"/>
    <cellStyle name="Normal 4 4 2 3 2 2 5" xfId="7038" xr:uid="{7070E47E-2826-43D2-ADD5-F0756E86B1CB}"/>
    <cellStyle name="Normal 4 4 2 3 2 2 6" xfId="7039" xr:uid="{B0C42756-F467-462B-BF95-D126079A7DC9}"/>
    <cellStyle name="Normal 4 4 2 3 2 2 7" xfId="7040" xr:uid="{E30E474C-83A1-4817-B6ED-7AEAB768744A}"/>
    <cellStyle name="Normal 4 4 2 3 2 3" xfId="7041" xr:uid="{6BBA5742-F117-4B10-ADE2-795197D10466}"/>
    <cellStyle name="Normal 4 4 2 3 2 3 2" xfId="7042" xr:uid="{F6A829CC-5005-48E3-978B-4987BE6E95AF}"/>
    <cellStyle name="Normal 4 4 2 3 2 3 2 2" xfId="7043" xr:uid="{6ABC75F0-CEBF-4486-93AD-6E5061F96538}"/>
    <cellStyle name="Normal 4 4 2 3 2 3 2 3" xfId="7044" xr:uid="{83B8E536-BEC1-4032-A0CB-1F71405890CC}"/>
    <cellStyle name="Normal 4 4 2 3 2 3 3" xfId="7045" xr:uid="{05845061-4864-4E58-A4B6-C50F0ED20038}"/>
    <cellStyle name="Normal 4 4 2 3 2 3 4" xfId="7046" xr:uid="{4B72032C-7CF6-4856-B1DC-F392C97452B4}"/>
    <cellStyle name="Normal 4 4 2 3 2 3 5" xfId="7047" xr:uid="{2C2E89D6-8514-4191-8487-DE43E7F4EA35}"/>
    <cellStyle name="Normal 4 4 2 3 2 4" xfId="7048" xr:uid="{5DE38D1F-57D9-4371-82A0-D9AB4E551C11}"/>
    <cellStyle name="Normal 4 4 2 3 2 4 2" xfId="7049" xr:uid="{3C1A0E14-B7D8-4BFB-BE1B-EFED2CCEB49C}"/>
    <cellStyle name="Normal 4 4 2 3 2 4 2 2" xfId="7050" xr:uid="{A5066A95-CAFF-469B-84F7-C71065C4C3B4}"/>
    <cellStyle name="Normal 4 4 2 3 2 4 2 3" xfId="7051" xr:uid="{2A8C791B-D239-4895-A802-EF72220D92C1}"/>
    <cellStyle name="Normal 4 4 2 3 2 4 3" xfId="7052" xr:uid="{A4C1AFEE-B28F-4235-979B-3718D0CF66F0}"/>
    <cellStyle name="Normal 4 4 2 3 2 4 4" xfId="7053" xr:uid="{AF613D34-7C15-4028-8387-6FC9D6149AA0}"/>
    <cellStyle name="Normal 4 4 2 3 2 4 5" xfId="7054" xr:uid="{D5413774-A6CF-4CE7-82D2-7BEF781342AA}"/>
    <cellStyle name="Normal 4 4 2 3 2 5" xfId="7055" xr:uid="{A8DDE5B4-CF69-4B38-944D-2FDAA5BD92F5}"/>
    <cellStyle name="Normal 4 4 2 3 2 5 2" xfId="7056" xr:uid="{B44F7E34-904D-4710-BB88-3812F5FEA737}"/>
    <cellStyle name="Normal 4 4 2 3 2 5 3" xfId="7057" xr:uid="{D0C8C586-3F45-4129-B789-0F6C06F95A3A}"/>
    <cellStyle name="Normal 4 4 2 3 2 6" xfId="7058" xr:uid="{40783E6D-520F-4332-987C-3C2F825842D7}"/>
    <cellStyle name="Normal 4 4 2 3 2 7" xfId="7059" xr:uid="{091C3D18-6AF7-486E-A7B9-CF0353E6EC19}"/>
    <cellStyle name="Normal 4 4 2 3 2 8" xfId="7060" xr:uid="{4DA61E2F-D4BB-4730-ACD3-27F0C8769F99}"/>
    <cellStyle name="Normal 4 4 2 3 3" xfId="7061" xr:uid="{5351579F-1D20-4ACF-8140-D6DA1C39C548}"/>
    <cellStyle name="Normal 4 4 2 3 3 2" xfId="7062" xr:uid="{DD151E88-3E1F-4FB4-B30D-0E3339DFF6AB}"/>
    <cellStyle name="Normal 4 4 2 3 3 2 2" xfId="7063" xr:uid="{BCA2C634-D530-4835-90A0-A91E849E7397}"/>
    <cellStyle name="Normal 4 4 2 3 3 2 2 2" xfId="7064" xr:uid="{358C4AE7-8E26-4EDF-8523-04472ECD8AAA}"/>
    <cellStyle name="Normal 4 4 2 3 3 2 2 3" xfId="7065" xr:uid="{CFC75967-A883-44C6-900E-8289B02DC7A1}"/>
    <cellStyle name="Normal 4 4 2 3 3 2 3" xfId="7066" xr:uid="{33D9D95A-A987-4768-9567-909F9FF33664}"/>
    <cellStyle name="Normal 4 4 2 3 3 2 4" xfId="7067" xr:uid="{0B17BC4B-914E-42DB-AFE8-19C6A001F2C1}"/>
    <cellStyle name="Normal 4 4 2 3 3 2 5" xfId="7068" xr:uid="{F3E8F350-C92B-4C02-8AA9-9510BFB25BE3}"/>
    <cellStyle name="Normal 4 4 2 3 3 3" xfId="7069" xr:uid="{7048CCAF-FB37-4CFF-B2A3-6F235CC09343}"/>
    <cellStyle name="Normal 4 4 2 3 3 3 2" xfId="7070" xr:uid="{D33B8187-F126-4DC7-842A-00F77CBDCB24}"/>
    <cellStyle name="Normal 4 4 2 3 3 3 2 2" xfId="7071" xr:uid="{28E4B898-D20E-459B-97ED-03C02EEA54AF}"/>
    <cellStyle name="Normal 4 4 2 3 3 3 2 3" xfId="7072" xr:uid="{A2D7D34C-23CE-4EA4-A76E-D33E8F86370C}"/>
    <cellStyle name="Normal 4 4 2 3 3 3 3" xfId="7073" xr:uid="{AA693DAF-B55A-4465-9790-51342D146AF6}"/>
    <cellStyle name="Normal 4 4 2 3 3 3 4" xfId="7074" xr:uid="{5B378110-E599-4B1D-B018-9388A743998D}"/>
    <cellStyle name="Normal 4 4 2 3 3 3 5" xfId="7075" xr:uid="{4102786D-2F8C-42DE-8AEB-49A2BCB8F4C5}"/>
    <cellStyle name="Normal 4 4 2 3 3 4" xfId="7076" xr:uid="{2F8460E0-A2B8-4ABB-A634-81BE4E840810}"/>
    <cellStyle name="Normal 4 4 2 3 3 4 2" xfId="7077" xr:uid="{27274E0B-8CB5-44ED-8988-BBECE34EEEE7}"/>
    <cellStyle name="Normal 4 4 2 3 3 4 3" xfId="7078" xr:uid="{F9231298-14BD-4718-ADD7-05D1FD6EB099}"/>
    <cellStyle name="Normal 4 4 2 3 3 5" xfId="7079" xr:uid="{043A74B8-BF33-4DDA-A5D9-28552D1EC926}"/>
    <cellStyle name="Normal 4 4 2 3 3 6" xfId="7080" xr:uid="{6BE1A749-681B-404F-8962-324342A31142}"/>
    <cellStyle name="Normal 4 4 2 3 3 7" xfId="7081" xr:uid="{F20E4A93-EFCE-40BA-B25F-DBD4A7D1EF46}"/>
    <cellStyle name="Normal 4 4 2 3 4" xfId="7082" xr:uid="{09A125C3-AC20-4FCD-85C3-4F20D53574A7}"/>
    <cellStyle name="Normal 4 4 2 3 4 2" xfId="7083" xr:uid="{520EC0CF-43D4-4049-B47B-A43595A9CEF8}"/>
    <cellStyle name="Normal 4 4 2 3 4 2 2" xfId="7084" xr:uid="{1AE6766A-DCBC-42E7-8877-BA983C6FC733}"/>
    <cellStyle name="Normal 4 4 2 3 4 2 3" xfId="7085" xr:uid="{1FA383E4-6F64-4731-A44C-A515899EBCAE}"/>
    <cellStyle name="Normal 4 4 2 3 4 3" xfId="7086" xr:uid="{C9F4F56F-9D4E-4504-A53C-F930BED4DAA2}"/>
    <cellStyle name="Normal 4 4 2 3 4 4" xfId="7087" xr:uid="{A8619276-1666-4097-9165-38CB036869F5}"/>
    <cellStyle name="Normal 4 4 2 3 4 5" xfId="7088" xr:uid="{3B2A3F9A-5B05-448F-BD3D-F0C694D352B0}"/>
    <cellStyle name="Normal 4 4 2 3 5" xfId="7089" xr:uid="{B59F8C2C-4B96-4237-9FEB-63B5E8BA06BC}"/>
    <cellStyle name="Normal 4 4 2 3 5 2" xfId="7090" xr:uid="{2CCDA596-6656-4B55-90A2-A95FDB918991}"/>
    <cellStyle name="Normal 4 4 2 3 5 2 2" xfId="7091" xr:uid="{C470350C-6588-4580-8B7D-6D0640788C63}"/>
    <cellStyle name="Normal 4 4 2 3 5 2 3" xfId="7092" xr:uid="{11457720-4EA1-435E-BD95-70F2954E8F53}"/>
    <cellStyle name="Normal 4 4 2 3 5 3" xfId="7093" xr:uid="{E78F73CD-B1F2-4EE5-9DF5-720F6E64CCDB}"/>
    <cellStyle name="Normal 4 4 2 3 5 4" xfId="7094" xr:uid="{40DB81F3-F009-4818-AAEA-729060D38CEF}"/>
    <cellStyle name="Normal 4 4 2 3 5 5" xfId="7095" xr:uid="{BE5F1A42-AF29-4034-ADD9-55A4A725B858}"/>
    <cellStyle name="Normal 4 4 2 3 6" xfId="7096" xr:uid="{1D2C4775-8594-4E2B-B573-C9625C024406}"/>
    <cellStyle name="Normal 4 4 2 3 6 2" xfId="7097" xr:uid="{9B85F04E-8914-4EEA-AD67-943474CF5E6E}"/>
    <cellStyle name="Normal 4 4 2 3 6 3" xfId="7098" xr:uid="{F852367F-0BBD-4CFE-B5E7-5A47FA8C1EBF}"/>
    <cellStyle name="Normal 4 4 2 3 7" xfId="7099" xr:uid="{C1609ED2-ADAF-4EDF-8512-77386F10556C}"/>
    <cellStyle name="Normal 4 4 2 3 8" xfId="7100" xr:uid="{9E872219-5530-4508-8FF2-99E46A1C2206}"/>
    <cellStyle name="Normal 4 4 2 3 9" xfId="7101" xr:uid="{3AD5E3FF-F35A-4085-8E2E-A8A1C24E6A80}"/>
    <cellStyle name="Normal 4 4 2 4" xfId="7102" xr:uid="{32849244-723A-4E6B-AAC4-CAF82581E53C}"/>
    <cellStyle name="Normal 4 4 2 4 2" xfId="7103" xr:uid="{E19D5994-6CCD-4F7B-B636-9123D205728A}"/>
    <cellStyle name="Normal 4 4 2 4 2 2" xfId="7104" xr:uid="{BCAF6D31-C28D-4EF1-960E-B90B07905BA4}"/>
    <cellStyle name="Normal 4 4 2 4 2 2 2" xfId="7105" xr:uid="{511AA423-F61F-406C-8DA4-1249A8B7FAF8}"/>
    <cellStyle name="Normal 4 4 2 4 2 2 2 2" xfId="7106" xr:uid="{616ECE41-41CC-44E7-B233-8A605B448786}"/>
    <cellStyle name="Normal 4 4 2 4 2 2 2 2 2" xfId="7107" xr:uid="{2230DECD-2D40-4F7F-8AF3-D2D8A49240A5}"/>
    <cellStyle name="Normal 4 4 2 4 2 2 2 2 3" xfId="7108" xr:uid="{D79BC6E3-7CB3-4C75-BB36-EA4269E002B2}"/>
    <cellStyle name="Normal 4 4 2 4 2 2 2 3" xfId="7109" xr:uid="{80EA388F-A346-409D-ACF7-49AE2F799756}"/>
    <cellStyle name="Normal 4 4 2 4 2 2 2 4" xfId="7110" xr:uid="{487E0694-6772-413B-AE92-851E1B08B0CE}"/>
    <cellStyle name="Normal 4 4 2 4 2 2 2 5" xfId="7111" xr:uid="{96B2204B-F625-444B-A33D-D3F66901DB8B}"/>
    <cellStyle name="Normal 4 4 2 4 2 2 3" xfId="7112" xr:uid="{0D7A9F22-10EE-4A63-ABAC-A5A7180AF8D2}"/>
    <cellStyle name="Normal 4 4 2 4 2 2 3 2" xfId="7113" xr:uid="{675E481A-03A2-4704-BDC1-758B5E07A863}"/>
    <cellStyle name="Normal 4 4 2 4 2 2 3 2 2" xfId="7114" xr:uid="{0F64A3A7-AF24-40E0-A15E-2A79E2300DDE}"/>
    <cellStyle name="Normal 4 4 2 4 2 2 3 2 3" xfId="7115" xr:uid="{2B7F7304-9EDD-43FF-8112-57C6A4666BA8}"/>
    <cellStyle name="Normal 4 4 2 4 2 2 3 3" xfId="7116" xr:uid="{A7376A1F-82C7-48B1-9399-2937D786BA44}"/>
    <cellStyle name="Normal 4 4 2 4 2 2 3 4" xfId="7117" xr:uid="{9CBBC276-5A57-4ED0-8E47-672E15D67FEC}"/>
    <cellStyle name="Normal 4 4 2 4 2 2 3 5" xfId="7118" xr:uid="{4389F023-D4F0-4DAE-9A6D-76692F3CAAA5}"/>
    <cellStyle name="Normal 4 4 2 4 2 2 4" xfId="7119" xr:uid="{10987ED1-52D5-4516-B460-F1EF2164AA5D}"/>
    <cellStyle name="Normal 4 4 2 4 2 2 4 2" xfId="7120" xr:uid="{F79C0905-AB4A-4744-829D-34047C150B41}"/>
    <cellStyle name="Normal 4 4 2 4 2 2 4 3" xfId="7121" xr:uid="{36551D6A-12ED-4534-B51B-C007F09AE1C5}"/>
    <cellStyle name="Normal 4 4 2 4 2 2 5" xfId="7122" xr:uid="{57185EB4-52F6-4CC4-9057-B9E71ADB7F23}"/>
    <cellStyle name="Normal 4 4 2 4 2 2 6" xfId="7123" xr:uid="{03899351-7E8C-441F-A86E-067ABB5EAADB}"/>
    <cellStyle name="Normal 4 4 2 4 2 2 7" xfId="7124" xr:uid="{6FBECA6F-F0E9-4182-BC89-5CF65409D1C0}"/>
    <cellStyle name="Normal 4 4 2 4 2 3" xfId="7125" xr:uid="{FB7BF325-F993-4004-B3CD-589354B845D5}"/>
    <cellStyle name="Normal 4 4 2 4 2 3 2" xfId="7126" xr:uid="{E80BB522-828A-45AF-83A2-47B39EF2A30F}"/>
    <cellStyle name="Normal 4 4 2 4 2 3 2 2" xfId="7127" xr:uid="{D16356DB-A4B4-4B33-B48A-B8DD85DCE89A}"/>
    <cellStyle name="Normal 4 4 2 4 2 3 2 3" xfId="7128" xr:uid="{2B4E603B-BB70-475E-A39C-1A2AE28BED13}"/>
    <cellStyle name="Normal 4 4 2 4 2 3 3" xfId="7129" xr:uid="{44A327A8-E999-4D54-8E03-425781267B8C}"/>
    <cellStyle name="Normal 4 4 2 4 2 3 4" xfId="7130" xr:uid="{B734B998-2FB9-4F41-ABBA-0EE736BC8416}"/>
    <cellStyle name="Normal 4 4 2 4 2 3 5" xfId="7131" xr:uid="{57FE850E-2D66-4BCD-B6A5-E65ECAC88B37}"/>
    <cellStyle name="Normal 4 4 2 4 2 4" xfId="7132" xr:uid="{B66EC5D1-4365-43BD-9C63-B02D4FA81B51}"/>
    <cellStyle name="Normal 4 4 2 4 2 4 2" xfId="7133" xr:uid="{0975B0C9-7FB0-4516-AC91-47AD7A4552A1}"/>
    <cellStyle name="Normal 4 4 2 4 2 4 2 2" xfId="7134" xr:uid="{38A0AED0-6694-4091-A58B-62E048E094D0}"/>
    <cellStyle name="Normal 4 4 2 4 2 4 2 3" xfId="7135" xr:uid="{0DAAAC8F-7502-4D70-BB5E-D103867BF773}"/>
    <cellStyle name="Normal 4 4 2 4 2 4 3" xfId="7136" xr:uid="{D1835D6C-6749-499E-8B77-C412D327FE92}"/>
    <cellStyle name="Normal 4 4 2 4 2 4 4" xfId="7137" xr:uid="{B0E00AFD-5EB7-41F3-B014-F44006DFE1EC}"/>
    <cellStyle name="Normal 4 4 2 4 2 4 5" xfId="7138" xr:uid="{39C24453-2AF9-43AC-BF26-146EF3FA9DA3}"/>
    <cellStyle name="Normal 4 4 2 4 2 5" xfId="7139" xr:uid="{1199B48A-39BB-409E-9FF3-15A1F88A75C8}"/>
    <cellStyle name="Normal 4 4 2 4 2 5 2" xfId="7140" xr:uid="{79162413-EAA9-4017-9A51-0E397A271F01}"/>
    <cellStyle name="Normal 4 4 2 4 2 5 3" xfId="7141" xr:uid="{119F5983-2910-484C-8052-3FE1DE18BADE}"/>
    <cellStyle name="Normal 4 4 2 4 2 6" xfId="7142" xr:uid="{AB885BFA-0F69-4F2D-A7E5-386AA5A5ACF3}"/>
    <cellStyle name="Normal 4 4 2 4 2 7" xfId="7143" xr:uid="{4A5965C6-1C72-4277-AB2D-E482C6C7C64B}"/>
    <cellStyle name="Normal 4 4 2 4 2 8" xfId="7144" xr:uid="{24DF754C-01B5-4144-B94C-2FEC9F7CD54A}"/>
    <cellStyle name="Normal 4 4 2 4 3" xfId="7145" xr:uid="{3061F1CE-38AB-4F7B-8F99-C45989A6DAC4}"/>
    <cellStyle name="Normal 4 4 2 4 3 2" xfId="7146" xr:uid="{98679687-651C-4DED-A1EC-B9612AB31D90}"/>
    <cellStyle name="Normal 4 4 2 4 3 2 2" xfId="7147" xr:uid="{6D30A2EA-F456-4E4B-8ACC-3DE8BDA65DAE}"/>
    <cellStyle name="Normal 4 4 2 4 3 2 2 2" xfId="7148" xr:uid="{27ECF30E-F2F3-468F-AB06-B9DC0B6B8A67}"/>
    <cellStyle name="Normal 4 4 2 4 3 2 2 3" xfId="7149" xr:uid="{C3A2F05F-F0CF-4301-AF17-607659C43C71}"/>
    <cellStyle name="Normal 4 4 2 4 3 2 3" xfId="7150" xr:uid="{D1DF5395-076E-421C-9A2F-30B2927562DF}"/>
    <cellStyle name="Normal 4 4 2 4 3 2 4" xfId="7151" xr:uid="{9E74ED09-9499-40F1-9C74-9ED511216B6A}"/>
    <cellStyle name="Normal 4 4 2 4 3 2 5" xfId="7152" xr:uid="{375ACA18-D68A-4814-AFC1-2F7D9332D5DE}"/>
    <cellStyle name="Normal 4 4 2 4 3 3" xfId="7153" xr:uid="{36F47064-3E4A-4701-A385-11A10B4256B8}"/>
    <cellStyle name="Normal 4 4 2 4 3 3 2" xfId="7154" xr:uid="{CAE660EE-9000-4006-923C-AA3D9CB66669}"/>
    <cellStyle name="Normal 4 4 2 4 3 3 2 2" xfId="7155" xr:uid="{A4FA5554-3FC6-4784-A67B-715C2310201D}"/>
    <cellStyle name="Normal 4 4 2 4 3 3 2 3" xfId="7156" xr:uid="{8A01279B-60CF-46D1-A5F6-E571AEAB567B}"/>
    <cellStyle name="Normal 4 4 2 4 3 3 3" xfId="7157" xr:uid="{37A248AB-BB87-4E18-A990-A3261B3A9BAD}"/>
    <cellStyle name="Normal 4 4 2 4 3 3 4" xfId="7158" xr:uid="{0D4A1B09-30CB-4D35-ACED-885C4A413C0C}"/>
    <cellStyle name="Normal 4 4 2 4 3 3 5" xfId="7159" xr:uid="{AFFC9FF5-FFFA-4160-9378-CF58B33B3782}"/>
    <cellStyle name="Normal 4 4 2 4 3 4" xfId="7160" xr:uid="{B01E8683-AFB3-4DC4-BB17-DF55F4C10531}"/>
    <cellStyle name="Normal 4 4 2 4 3 4 2" xfId="7161" xr:uid="{23903683-649F-4600-8463-D8E3527D3D69}"/>
    <cellStyle name="Normal 4 4 2 4 3 4 3" xfId="7162" xr:uid="{082F13A5-302B-41B9-9CEA-3DA47A07C898}"/>
    <cellStyle name="Normal 4 4 2 4 3 5" xfId="7163" xr:uid="{62DF2AA2-C770-4E08-B882-D5A5B33FCF0B}"/>
    <cellStyle name="Normal 4 4 2 4 3 6" xfId="7164" xr:uid="{E68C1008-F672-48B4-9F13-5BDA22308F84}"/>
    <cellStyle name="Normal 4 4 2 4 3 7" xfId="7165" xr:uid="{32628A4B-E4C5-45C6-BCA9-60D962BF8566}"/>
    <cellStyle name="Normal 4 4 2 4 4" xfId="7166" xr:uid="{BD354F9D-C80F-4EBD-BB11-9EFA8222D2AE}"/>
    <cellStyle name="Normal 4 4 2 4 4 2" xfId="7167" xr:uid="{AC174676-C0E5-4789-94AE-A1913F20A7ED}"/>
    <cellStyle name="Normal 4 4 2 4 4 2 2" xfId="7168" xr:uid="{4E253194-6546-45FC-9C8D-CD286D27A28F}"/>
    <cellStyle name="Normal 4 4 2 4 4 2 3" xfId="7169" xr:uid="{1302B617-B4F3-4E67-AE86-EEDE622EF19A}"/>
    <cellStyle name="Normal 4 4 2 4 4 3" xfId="7170" xr:uid="{2B754886-6F53-4254-AFDF-62F884207429}"/>
    <cellStyle name="Normal 4 4 2 4 4 4" xfId="7171" xr:uid="{101BB0A1-1BC6-4678-BE5B-F54CB905B25A}"/>
    <cellStyle name="Normal 4 4 2 4 4 5" xfId="7172" xr:uid="{CA2C834D-FB3A-4627-91D9-2F47550D59D7}"/>
    <cellStyle name="Normal 4 4 2 4 5" xfId="7173" xr:uid="{0FF4B52A-CECC-4CC8-A6AC-D2547DA968F9}"/>
    <cellStyle name="Normal 4 4 2 4 5 2" xfId="7174" xr:uid="{745F744D-C971-49A9-A391-EECF6AC1F2DF}"/>
    <cellStyle name="Normal 4 4 2 4 5 2 2" xfId="7175" xr:uid="{3B1B88BE-6B1E-4ACA-9D82-C7B5593E3CDD}"/>
    <cellStyle name="Normal 4 4 2 4 5 2 3" xfId="7176" xr:uid="{1A9AD258-CEDD-427B-8973-FDD49760B14A}"/>
    <cellStyle name="Normal 4 4 2 4 5 3" xfId="7177" xr:uid="{E12BE971-555C-4497-807C-AEA3E851023D}"/>
    <cellStyle name="Normal 4 4 2 4 5 4" xfId="7178" xr:uid="{DD472C50-66F0-4F0D-9CAB-27833D05A15E}"/>
    <cellStyle name="Normal 4 4 2 4 5 5" xfId="7179" xr:uid="{B51A0FBA-7A63-4A76-ACE9-0F2BDC2F871A}"/>
    <cellStyle name="Normal 4 4 2 4 6" xfId="7180" xr:uid="{3586216D-1645-4998-82C3-E19E99792FFF}"/>
    <cellStyle name="Normal 4 4 2 4 6 2" xfId="7181" xr:uid="{70C2F5C2-29A4-4C80-9786-FA8D8882F4CC}"/>
    <cellStyle name="Normal 4 4 2 4 6 3" xfId="7182" xr:uid="{4F1969B5-2B30-4363-AD81-73327CDCDA77}"/>
    <cellStyle name="Normal 4 4 2 4 7" xfId="7183" xr:uid="{A3256DF9-1298-45DA-9EFE-7F014853D59F}"/>
    <cellStyle name="Normal 4 4 2 4 8" xfId="7184" xr:uid="{4E57D74E-D52C-4CFD-9D54-9358106259B0}"/>
    <cellStyle name="Normal 4 4 2 4 9" xfId="7185" xr:uid="{14DB47FA-B142-4AB4-8872-2B9870E035FF}"/>
    <cellStyle name="Normal 4 4 2 5" xfId="7186" xr:uid="{3B3AB6B1-3ABB-4F98-BF03-52F2DA1BCCA4}"/>
    <cellStyle name="Normal 4 4 2 5 2" xfId="7187" xr:uid="{19824445-909C-4393-A351-056D2CD4768C}"/>
    <cellStyle name="Normal 4 4 2 5 2 2" xfId="7188" xr:uid="{B57506AB-093B-4DBF-A64E-AE18AB5ECB08}"/>
    <cellStyle name="Normal 4 4 2 5 2 2 2" xfId="7189" xr:uid="{97E7BCA2-0CFB-4AC0-BB6C-069B0A239344}"/>
    <cellStyle name="Normal 4 4 2 5 2 2 2 2" xfId="7190" xr:uid="{B467A735-8C0C-4FFA-95EB-FB7C602E73DC}"/>
    <cellStyle name="Normal 4 4 2 5 2 2 2 3" xfId="7191" xr:uid="{D18E3664-3F88-4F3A-8178-D7121E6FA7C1}"/>
    <cellStyle name="Normal 4 4 2 5 2 2 3" xfId="7192" xr:uid="{85AFDF0A-A574-45B0-A946-D22220B0CE5C}"/>
    <cellStyle name="Normal 4 4 2 5 2 2 4" xfId="7193" xr:uid="{637EFBBA-8E1C-402B-B485-9C28C5BC1E84}"/>
    <cellStyle name="Normal 4 4 2 5 2 2 5" xfId="7194" xr:uid="{9FE3B370-C47B-4D48-B5B4-E72CACBCD0FB}"/>
    <cellStyle name="Normal 4 4 2 5 2 3" xfId="7195" xr:uid="{9191D350-AEB7-45CC-AAA6-BCED55776764}"/>
    <cellStyle name="Normal 4 4 2 5 2 3 2" xfId="7196" xr:uid="{230F3C55-DD54-4551-B731-7E0E7C989AF2}"/>
    <cellStyle name="Normal 4 4 2 5 2 3 2 2" xfId="7197" xr:uid="{131D5F0E-31E0-4137-8580-3A3DA97C542A}"/>
    <cellStyle name="Normal 4 4 2 5 2 3 2 3" xfId="7198" xr:uid="{AB7E5410-B962-4AC6-977F-E722D35FC3C1}"/>
    <cellStyle name="Normal 4 4 2 5 2 3 3" xfId="7199" xr:uid="{20AAFA6F-6315-43F2-9687-806409C40EF7}"/>
    <cellStyle name="Normal 4 4 2 5 2 3 4" xfId="7200" xr:uid="{695417AD-CC44-42F9-B5A6-9E5D3B149E14}"/>
    <cellStyle name="Normal 4 4 2 5 2 3 5" xfId="7201" xr:uid="{8C1FF74D-11BB-49BC-83CA-DBEFE17EB830}"/>
    <cellStyle name="Normal 4 4 2 5 2 4" xfId="7202" xr:uid="{702A0B20-AEB7-4BD9-A710-5CF161753B1E}"/>
    <cellStyle name="Normal 4 4 2 5 2 4 2" xfId="7203" xr:uid="{143609C7-86EA-4118-A960-26668D212DD2}"/>
    <cellStyle name="Normal 4 4 2 5 2 4 3" xfId="7204" xr:uid="{66B5A373-BB50-4203-8B85-64EDAEE6B1DF}"/>
    <cellStyle name="Normal 4 4 2 5 2 5" xfId="7205" xr:uid="{9D5E1665-7500-4D65-BAF7-F2C7F299B436}"/>
    <cellStyle name="Normal 4 4 2 5 2 6" xfId="7206" xr:uid="{AC439B7E-FE3D-402E-8FBF-C23110B10C12}"/>
    <cellStyle name="Normal 4 4 2 5 2 7" xfId="7207" xr:uid="{92B313EC-EDB2-4C05-992C-FD86D3457052}"/>
    <cellStyle name="Normal 4 4 2 5 3" xfId="7208" xr:uid="{0D8BF686-2671-4DBB-9EB1-8A9721153F5A}"/>
    <cellStyle name="Normal 4 4 2 5 3 2" xfId="7209" xr:uid="{6E418332-1868-4A98-8522-6B8B2A216C5B}"/>
    <cellStyle name="Normal 4 4 2 5 3 2 2" xfId="7210" xr:uid="{FD5E244D-AB4D-4A49-BD8E-322CE7F1928D}"/>
    <cellStyle name="Normal 4 4 2 5 3 2 3" xfId="7211" xr:uid="{58753BF0-F153-4991-88D8-E9C39E4C5B0B}"/>
    <cellStyle name="Normal 4 4 2 5 3 3" xfId="7212" xr:uid="{98F4F2FF-3F6C-48D3-8D09-BF24FC4C5B34}"/>
    <cellStyle name="Normal 4 4 2 5 3 4" xfId="7213" xr:uid="{4494E69F-BF5A-4EE3-80DC-F9B84697B60D}"/>
    <cellStyle name="Normal 4 4 2 5 3 5" xfId="7214" xr:uid="{E36E105A-DDC0-4010-B528-7EBC28962CEF}"/>
    <cellStyle name="Normal 4 4 2 5 4" xfId="7215" xr:uid="{006FEEBF-2850-41FB-B1BF-1993858117FB}"/>
    <cellStyle name="Normal 4 4 2 5 4 2" xfId="7216" xr:uid="{174AEF28-6FC2-43FE-B27A-9C5F04B232B9}"/>
    <cellStyle name="Normal 4 4 2 5 4 2 2" xfId="7217" xr:uid="{ABF99139-014C-46CA-80FC-5396A562F6CF}"/>
    <cellStyle name="Normal 4 4 2 5 4 2 3" xfId="7218" xr:uid="{4499D338-F788-4508-A2C5-12A255D209C8}"/>
    <cellStyle name="Normal 4 4 2 5 4 3" xfId="7219" xr:uid="{5AB7B196-9E0F-4476-9DEE-5EA45DC3E4BB}"/>
    <cellStyle name="Normal 4 4 2 5 4 4" xfId="7220" xr:uid="{7C35AF5E-C6F1-498D-B76F-32ED8D62211B}"/>
    <cellStyle name="Normal 4 4 2 5 4 5" xfId="7221" xr:uid="{F80177BA-C1A4-4A66-9BC8-EEFBC995AA7E}"/>
    <cellStyle name="Normal 4 4 2 5 5" xfId="7222" xr:uid="{2FF7F962-F0A1-4056-94B5-AAF0EA67C26E}"/>
    <cellStyle name="Normal 4 4 2 5 5 2" xfId="7223" xr:uid="{E943821A-9532-4BD9-9515-1AECE99860BD}"/>
    <cellStyle name="Normal 4 4 2 5 5 3" xfId="7224" xr:uid="{1814A935-3A4D-4B06-A6FD-24281D269BAB}"/>
    <cellStyle name="Normal 4 4 2 5 6" xfId="7225" xr:uid="{797A3810-BA95-4398-BD50-B4D19F2328C5}"/>
    <cellStyle name="Normal 4 4 2 5 7" xfId="7226" xr:uid="{626DCA53-6237-4BC3-9E76-E5829B5BB002}"/>
    <cellStyle name="Normal 4 4 2 5 8" xfId="7227" xr:uid="{FDE87E9F-FE28-4D82-9D6F-B8FEFB50A6DA}"/>
    <cellStyle name="Normal 4 4 2 6" xfId="7228" xr:uid="{DC1D7F77-CA41-43DF-BA30-0236EBA2187C}"/>
    <cellStyle name="Normal 4 4 2 6 2" xfId="7229" xr:uid="{6FF56DC1-66DE-41A3-B4B0-91556FC4177E}"/>
    <cellStyle name="Normal 4 4 2 6 2 2" xfId="7230" xr:uid="{20ACE99E-9974-483A-85C3-B4276644D1DE}"/>
    <cellStyle name="Normal 4 4 2 6 2 2 2" xfId="7231" xr:uid="{C6A1FA94-8A5F-4D63-96C7-324187BCDD9C}"/>
    <cellStyle name="Normal 4 4 2 6 2 2 3" xfId="7232" xr:uid="{526AB547-5E04-4E7D-A0C5-88848A79FF05}"/>
    <cellStyle name="Normal 4 4 2 6 2 3" xfId="7233" xr:uid="{6E12B113-B532-4E1C-9A1B-6436DB962027}"/>
    <cellStyle name="Normal 4 4 2 6 2 4" xfId="7234" xr:uid="{DB44449B-7AED-4F4B-8E4E-4C85585955E4}"/>
    <cellStyle name="Normal 4 4 2 6 2 5" xfId="7235" xr:uid="{B0D4C668-1E33-4AC4-AF69-30AA1B4D61FA}"/>
    <cellStyle name="Normal 4 4 2 6 3" xfId="7236" xr:uid="{F92DABFE-F2F3-4035-AF36-5B26827AF67C}"/>
    <cellStyle name="Normal 4 4 2 6 3 2" xfId="7237" xr:uid="{193A9411-B4B2-4171-A467-76B017A7F7B0}"/>
    <cellStyle name="Normal 4 4 2 6 3 2 2" xfId="7238" xr:uid="{4F9FC938-C687-4FF9-B8CC-B7436679C195}"/>
    <cellStyle name="Normal 4 4 2 6 3 2 3" xfId="7239" xr:uid="{15160038-AD24-4D0E-8D21-AA8FD1EBD5CE}"/>
    <cellStyle name="Normal 4 4 2 6 3 3" xfId="7240" xr:uid="{2C69D321-F982-40CE-A24E-AA06AE7079A5}"/>
    <cellStyle name="Normal 4 4 2 6 3 4" xfId="7241" xr:uid="{0CB457F7-708B-4AD4-B9A4-DF70821E2926}"/>
    <cellStyle name="Normal 4 4 2 6 3 5" xfId="7242" xr:uid="{7B740D63-8853-46CA-8106-A73F1533AE7E}"/>
    <cellStyle name="Normal 4 4 2 6 4" xfId="7243" xr:uid="{D5BD17C5-1304-4A05-834F-567CECDB8B61}"/>
    <cellStyle name="Normal 4 4 2 6 4 2" xfId="7244" xr:uid="{1C897CB6-8729-4919-BCAB-899B6880C5D8}"/>
    <cellStyle name="Normal 4 4 2 6 4 3" xfId="7245" xr:uid="{20B3562F-04A8-44E5-8C58-F2A080F895F3}"/>
    <cellStyle name="Normal 4 4 2 6 5" xfId="7246" xr:uid="{0E85EFB2-50D5-45B4-88D7-DBA6A9DA0880}"/>
    <cellStyle name="Normal 4 4 2 6 6" xfId="7247" xr:uid="{AAA0ADA4-1DB5-4EA2-8435-79DBA147E675}"/>
    <cellStyle name="Normal 4 4 2 6 7" xfId="7248" xr:uid="{FF8811F0-0105-4540-A612-DE297A58FA8E}"/>
    <cellStyle name="Normal 4 4 2 7" xfId="7249" xr:uid="{9733749A-5D14-476C-97DA-23B055DC2C9D}"/>
    <cellStyle name="Normal 4 4 2 7 2" xfId="7250" xr:uid="{449F30B5-088E-4BB7-BD4E-053D47230D2F}"/>
    <cellStyle name="Normal 4 4 2 7 2 2" xfId="7251" xr:uid="{BF1F38AF-0E76-4133-824F-7C61D5B99F9E}"/>
    <cellStyle name="Normal 4 4 2 7 2 2 2" xfId="7252" xr:uid="{93F8783F-E21F-4633-B201-3ECDA4A5CFD6}"/>
    <cellStyle name="Normal 4 4 2 7 2 2 3" xfId="7253" xr:uid="{FDE9260B-A025-47F9-8B05-461CB83A6B99}"/>
    <cellStyle name="Normal 4 4 2 7 2 3" xfId="7254" xr:uid="{D86CAC80-70BD-45AF-AB91-AC0FCE80A7E5}"/>
    <cellStyle name="Normal 4 4 2 7 2 4" xfId="7255" xr:uid="{C51233C5-122E-407B-B5FD-0A4A056AC750}"/>
    <cellStyle name="Normal 4 4 2 7 2 5" xfId="7256" xr:uid="{399B6AF3-9812-438C-96A1-17CF94364863}"/>
    <cellStyle name="Normal 4 4 2 7 3" xfId="7257" xr:uid="{468D901D-F655-4A7E-87B5-5382E3736ED8}"/>
    <cellStyle name="Normal 4 4 2 7 3 2" xfId="7258" xr:uid="{145DE9AA-58D2-4B29-8944-727F9CA846F3}"/>
    <cellStyle name="Normal 4 4 2 7 3 2 2" xfId="7259" xr:uid="{70BE2415-648D-4245-BFED-701AB3ECB849}"/>
    <cellStyle name="Normal 4 4 2 7 3 2 3" xfId="7260" xr:uid="{CAA9A6D1-804D-4845-B061-3F7C5FF6205E}"/>
    <cellStyle name="Normal 4 4 2 7 3 3" xfId="7261" xr:uid="{6E501EE8-8D5D-4CE5-A9D4-C55AB24965F6}"/>
    <cellStyle name="Normal 4 4 2 7 3 4" xfId="7262" xr:uid="{F248C38F-A75D-49C8-A08B-4AF691A83C7D}"/>
    <cellStyle name="Normal 4 4 2 7 3 5" xfId="7263" xr:uid="{B92CBE9F-956A-408E-BBFB-D65E6DA965CC}"/>
    <cellStyle name="Normal 4 4 2 7 4" xfId="7264" xr:uid="{E70FEA03-AA90-46D0-B318-4B608BF35571}"/>
    <cellStyle name="Normal 4 4 2 7 4 2" xfId="7265" xr:uid="{CE2175C4-7ED7-474E-8BAF-81CDCA83EE05}"/>
    <cellStyle name="Normal 4 4 2 7 4 3" xfId="7266" xr:uid="{5ED1C5CB-816D-4587-A6A7-3564D2D2D7B2}"/>
    <cellStyle name="Normal 4 4 2 7 5" xfId="7267" xr:uid="{16EDC3A4-8CD7-4D2D-9ECE-82F4860E45BA}"/>
    <cellStyle name="Normal 4 4 2 7 6" xfId="7268" xr:uid="{7F5EE001-A172-4574-9FDA-408E41633E52}"/>
    <cellStyle name="Normal 4 4 2 7 7" xfId="7269" xr:uid="{076D8DDE-A193-470D-B0AC-7210DACD2C28}"/>
    <cellStyle name="Normal 4 4 2 8" xfId="7270" xr:uid="{60C77F72-C8F2-47A9-827E-11F2703604F2}"/>
    <cellStyle name="Normal 4 4 2 8 2" xfId="7271" xr:uid="{45E83A53-0E7D-4BE2-A687-35BBCEA23E82}"/>
    <cellStyle name="Normal 4 4 2 8 2 2" xfId="7272" xr:uid="{049F7549-63B7-49E2-94EE-DE0777C047E7}"/>
    <cellStyle name="Normal 4 4 2 8 2 3" xfId="7273" xr:uid="{EC6C8FBA-9A08-42B2-9367-A152AC16C973}"/>
    <cellStyle name="Normal 4 4 2 8 3" xfId="7274" xr:uid="{4DCC0EBF-D652-4D1D-A8B4-B10C2F470E60}"/>
    <cellStyle name="Normal 4 4 2 8 4" xfId="7275" xr:uid="{C01008EC-A434-469B-85CE-E7A381118166}"/>
    <cellStyle name="Normal 4 4 2 8 5" xfId="7276" xr:uid="{DE48D688-1D12-4091-ABAC-C9090F089654}"/>
    <cellStyle name="Normal 4 4 2 9" xfId="7277" xr:uid="{540E1C35-8E08-4C69-B417-617C34059593}"/>
    <cellStyle name="Normal 4 4 2 9 2" xfId="7278" xr:uid="{CF74F788-E990-4636-AAE3-05FAD1F865D4}"/>
    <cellStyle name="Normal 4 4 2 9 2 2" xfId="7279" xr:uid="{510AB80A-701B-4455-ACD3-E3FE2C7BF9C7}"/>
    <cellStyle name="Normal 4 4 2 9 2 3" xfId="7280" xr:uid="{7E3E5A76-B5B0-48C8-8563-508864C8124D}"/>
    <cellStyle name="Normal 4 4 2 9 3" xfId="7281" xr:uid="{60428EA2-699E-4C0A-95A5-D8CE24500D4A}"/>
    <cellStyle name="Normal 4 4 2 9 4" xfId="7282" xr:uid="{A208101F-8034-4A78-9FC0-0216689DFFC1}"/>
    <cellStyle name="Normal 4 4 2 9 5" xfId="7283" xr:uid="{33B2786A-B284-477A-94C3-065683945CC0}"/>
    <cellStyle name="Normal 4 4 3" xfId="7284" xr:uid="{CE82A19C-D9CA-489F-A8B1-BA311BD9BCA5}"/>
    <cellStyle name="Normal 4 4 3 2" xfId="7285" xr:uid="{9FC6B7FE-050D-4336-8B19-14809CEBBD00}"/>
    <cellStyle name="Normal 4 4 3 2 2" xfId="7286" xr:uid="{6EF1205C-7396-49AA-9F99-40F41E7E08CE}"/>
    <cellStyle name="Normal 4 4 3 2 2 2" xfId="7287" xr:uid="{45C75420-5969-45AD-8BA6-628FCE10A466}"/>
    <cellStyle name="Normal 4 4 3 2 2 2 2" xfId="7288" xr:uid="{0D72D34C-B6A5-4C05-838C-8CBCE00809B7}"/>
    <cellStyle name="Normal 4 4 3 2 2 2 2 2" xfId="7289" xr:uid="{3CEBE6C3-5BB3-493D-8AE2-0D9668E08CA5}"/>
    <cellStyle name="Normal 4 4 3 2 2 2 2 3" xfId="7290" xr:uid="{9022696B-18DE-4494-86A6-212332CE3953}"/>
    <cellStyle name="Normal 4 4 3 2 2 2 3" xfId="7291" xr:uid="{0C86F064-13D4-440E-9ABA-8517DC03FBDD}"/>
    <cellStyle name="Normal 4 4 3 2 2 2 4" xfId="7292" xr:uid="{565DA2E9-4056-4F34-BBFB-BB536170377C}"/>
    <cellStyle name="Normal 4 4 3 2 2 2 5" xfId="7293" xr:uid="{6C52BBDD-CDFE-45FB-90A5-8DB0D35136B0}"/>
    <cellStyle name="Normal 4 4 3 2 2 3" xfId="7294" xr:uid="{F62A7E04-B47D-4F76-8114-7496F2BE094A}"/>
    <cellStyle name="Normal 4 4 3 2 2 3 2" xfId="7295" xr:uid="{18A7A3E4-0453-4958-B79C-9CB925EDDA3E}"/>
    <cellStyle name="Normal 4 4 3 2 2 3 2 2" xfId="7296" xr:uid="{D7391EF6-EB19-42F1-89F1-DDCE317F902A}"/>
    <cellStyle name="Normal 4 4 3 2 2 3 2 3" xfId="7297" xr:uid="{43BB67FA-D1E1-4364-85D8-46519DA27911}"/>
    <cellStyle name="Normal 4 4 3 2 2 3 3" xfId="7298" xr:uid="{C599BA95-0616-4086-BFB7-683AED965611}"/>
    <cellStyle name="Normal 4 4 3 2 2 3 4" xfId="7299" xr:uid="{7567CC3C-4AF0-4544-B056-EC9AB1026056}"/>
    <cellStyle name="Normal 4 4 3 2 2 3 5" xfId="7300" xr:uid="{8A098CB3-AB81-4EA7-AD71-07139F80EEF7}"/>
    <cellStyle name="Normal 4 4 3 2 2 4" xfId="7301" xr:uid="{E0ADD29C-D33E-498C-B632-DE3A8C36D3A7}"/>
    <cellStyle name="Normal 4 4 3 2 2 4 2" xfId="7302" xr:uid="{A9270287-DCB1-4E92-BA02-B29087D2B4BD}"/>
    <cellStyle name="Normal 4 4 3 2 2 4 3" xfId="7303" xr:uid="{F959E686-8346-40C5-A415-A671C64C9087}"/>
    <cellStyle name="Normal 4 4 3 2 2 5" xfId="7304" xr:uid="{7AE2FA3E-E19C-4DD9-A175-B19000B8BDBA}"/>
    <cellStyle name="Normal 4 4 3 2 2 6" xfId="7305" xr:uid="{B9044B4D-4C05-4F3E-BA5D-787414920262}"/>
    <cellStyle name="Normal 4 4 3 2 2 7" xfId="7306" xr:uid="{736B99C3-3D0C-4FB3-91B1-8B5D340AEA95}"/>
    <cellStyle name="Normal 4 4 3 2 3" xfId="7307" xr:uid="{4EE07E8B-4E9A-4A7A-8C04-7072644A46EB}"/>
    <cellStyle name="Normal 4 4 3 2 3 2" xfId="7308" xr:uid="{4E9BD3CB-0E3D-4E8C-B4EE-855103976FE6}"/>
    <cellStyle name="Normal 4 4 3 2 3 2 2" xfId="7309" xr:uid="{5E3936EF-77FE-4141-A9D5-A64C7CA9DEA2}"/>
    <cellStyle name="Normal 4 4 3 2 3 2 3" xfId="7310" xr:uid="{D7B7B626-7BF4-44EC-94F1-B0F8338FC592}"/>
    <cellStyle name="Normal 4 4 3 2 3 3" xfId="7311" xr:uid="{2C24FFFE-423D-449E-9B91-954EEB476328}"/>
    <cellStyle name="Normal 4 4 3 2 3 4" xfId="7312" xr:uid="{13FF8F3C-2F2A-451F-898D-35A540F98A24}"/>
    <cellStyle name="Normal 4 4 3 2 3 5" xfId="7313" xr:uid="{BCA263F5-2611-4137-B449-F3901F26DF1A}"/>
    <cellStyle name="Normal 4 4 3 2 4" xfId="7314" xr:uid="{022ACB1F-C216-49FD-A21C-80D8B937A30D}"/>
    <cellStyle name="Normal 4 4 3 2 4 2" xfId="7315" xr:uid="{F56534AC-C79C-4012-88CD-1932702AE55D}"/>
    <cellStyle name="Normal 4 4 3 2 4 2 2" xfId="7316" xr:uid="{5D7C7E3C-A6AA-4D9B-AB44-AD4B27A4A92D}"/>
    <cellStyle name="Normal 4 4 3 2 4 2 3" xfId="7317" xr:uid="{5FAE315B-C2BF-40A1-BD8A-DE8C8A01D55E}"/>
    <cellStyle name="Normal 4 4 3 2 4 3" xfId="7318" xr:uid="{01BBCAAE-F1F2-46B0-A6D9-BED6A6BEE5C7}"/>
    <cellStyle name="Normal 4 4 3 2 4 4" xfId="7319" xr:uid="{B3EC4F61-C3ED-40D7-A738-B42D92BDD793}"/>
    <cellStyle name="Normal 4 4 3 2 4 5" xfId="7320" xr:uid="{863F38F3-FC56-4D05-A239-98E2A3E5F4EB}"/>
    <cellStyle name="Normal 4 4 3 2 5" xfId="7321" xr:uid="{94A315E7-66F1-4F3B-8B3A-C27E7CA44AEE}"/>
    <cellStyle name="Normal 4 4 3 2 5 2" xfId="7322" xr:uid="{A693C12B-4D82-4C29-89D2-548A890092A3}"/>
    <cellStyle name="Normal 4 4 3 2 5 3" xfId="7323" xr:uid="{D80BF10F-163B-400C-9A96-EC9D6CB26EFF}"/>
    <cellStyle name="Normal 4 4 3 2 6" xfId="7324" xr:uid="{2E7B8211-DBA7-4295-B0CC-18AA54FEFDD7}"/>
    <cellStyle name="Normal 4 4 3 2 7" xfId="7325" xr:uid="{22442FAE-C39B-4136-BD58-1DC893A4EA22}"/>
    <cellStyle name="Normal 4 4 3 2 8" xfId="7326" xr:uid="{412B8030-D54F-44DD-808F-050D5249232F}"/>
    <cellStyle name="Normal 4 4 3 3" xfId="7327" xr:uid="{466FB153-56DD-467C-A7B8-53C418423DC2}"/>
    <cellStyle name="Normal 4 4 3 3 2" xfId="7328" xr:uid="{36E6DED9-A0B5-4A61-9681-DD0607CB82EF}"/>
    <cellStyle name="Normal 4 4 3 3 2 2" xfId="7329" xr:uid="{0FCAA743-3E24-4251-8BCF-E288EC68A659}"/>
    <cellStyle name="Normal 4 4 3 3 2 2 2" xfId="7330" xr:uid="{4E90C3FD-14B7-4254-BFF3-53B79F69401D}"/>
    <cellStyle name="Normal 4 4 3 3 2 2 3" xfId="7331" xr:uid="{20F3B4FC-8DFD-40D6-94B0-0A953EF37936}"/>
    <cellStyle name="Normal 4 4 3 3 2 3" xfId="7332" xr:uid="{7B857DF8-E8FB-4692-9822-071C149E5B98}"/>
    <cellStyle name="Normal 4 4 3 3 2 4" xfId="7333" xr:uid="{9485C6B5-9E44-4638-A4C6-05FF240CB1E1}"/>
    <cellStyle name="Normal 4 4 3 3 2 5" xfId="7334" xr:uid="{755B32E0-45A8-4D7F-82A5-BC577F41FCB8}"/>
    <cellStyle name="Normal 4 4 3 3 3" xfId="7335" xr:uid="{45948C62-2A61-4D02-9923-B6C2E1007482}"/>
    <cellStyle name="Normal 4 4 3 3 3 2" xfId="7336" xr:uid="{5AF60C4F-3929-4F7D-A474-8D5D6E4839D5}"/>
    <cellStyle name="Normal 4 4 3 3 3 2 2" xfId="7337" xr:uid="{23DE9E2A-5436-4776-9803-B7BF41AA7587}"/>
    <cellStyle name="Normal 4 4 3 3 3 2 3" xfId="7338" xr:uid="{A7C6807B-EC3C-4F1D-94C0-A3A626DEBE7A}"/>
    <cellStyle name="Normal 4 4 3 3 3 3" xfId="7339" xr:uid="{01BBF3CE-AECA-4C3F-BFC4-FDBFF3735C1C}"/>
    <cellStyle name="Normal 4 4 3 3 3 4" xfId="7340" xr:uid="{DA421264-A75D-4D89-9FDB-595B0A1AEA79}"/>
    <cellStyle name="Normal 4 4 3 3 3 5" xfId="7341" xr:uid="{099A53A0-112A-42C2-AC5B-7C63906DE644}"/>
    <cellStyle name="Normal 4 4 3 3 4" xfId="7342" xr:uid="{B09FF9DC-2F7D-40C3-8DB7-D1C99BDA1356}"/>
    <cellStyle name="Normal 4 4 3 3 4 2" xfId="7343" xr:uid="{627991ED-4F6C-4670-956B-DB023833248C}"/>
    <cellStyle name="Normal 4 4 3 3 4 3" xfId="7344" xr:uid="{2BD3E3A3-C0B4-4553-8646-9A2D1EA0012D}"/>
    <cellStyle name="Normal 4 4 3 3 5" xfId="7345" xr:uid="{6A56D330-0568-46DD-AA23-C0C374A4ABD2}"/>
    <cellStyle name="Normal 4 4 3 3 6" xfId="7346" xr:uid="{BB4C1740-2C03-4E0A-8527-0D96041A693C}"/>
    <cellStyle name="Normal 4 4 3 3 7" xfId="7347" xr:uid="{440B85EE-F55C-4641-9611-DB729992DBB2}"/>
    <cellStyle name="Normal 4 4 3 4" xfId="7348" xr:uid="{E54C69B7-6C85-4B9C-9804-C75DF02913F9}"/>
    <cellStyle name="Normal 4 4 3 4 2" xfId="7349" xr:uid="{57107AC9-CFF9-4934-A2FC-99C41CF0E206}"/>
    <cellStyle name="Normal 4 4 3 4 2 2" xfId="7350" xr:uid="{6AB84FFF-5F89-4391-B469-0FA99C2F3992}"/>
    <cellStyle name="Normal 4 4 3 4 2 3" xfId="7351" xr:uid="{1FA2DEBC-16DF-4983-9A97-7F3662B22C6B}"/>
    <cellStyle name="Normal 4 4 3 4 3" xfId="7352" xr:uid="{F3CB63A2-6067-4210-8A74-E1E20C6CF156}"/>
    <cellStyle name="Normal 4 4 3 4 4" xfId="7353" xr:uid="{EA0F1F30-B7AB-4C55-8421-644F631A20B6}"/>
    <cellStyle name="Normal 4 4 3 4 5" xfId="7354" xr:uid="{22864657-D22A-4BDD-BE51-FCEF1A182B4B}"/>
    <cellStyle name="Normal 4 4 3 5" xfId="7355" xr:uid="{55009A38-514B-40D0-8BEB-DA91BC90D11B}"/>
    <cellStyle name="Normal 4 4 3 5 2" xfId="7356" xr:uid="{17129548-1662-4397-BC5E-DA28D9906F40}"/>
    <cellStyle name="Normal 4 4 3 5 2 2" xfId="7357" xr:uid="{B6BF3B0D-9644-44CF-91EC-0C604BCD4156}"/>
    <cellStyle name="Normal 4 4 3 5 2 3" xfId="7358" xr:uid="{89A7EC8C-5189-4DE5-A256-926C605C2BC2}"/>
    <cellStyle name="Normal 4 4 3 5 3" xfId="7359" xr:uid="{E6A825A5-D6B1-468E-9E85-66E33DC3931C}"/>
    <cellStyle name="Normal 4 4 3 5 4" xfId="7360" xr:uid="{5FAC75D6-65B7-4F1E-B9FA-AB8ADACEFABC}"/>
    <cellStyle name="Normal 4 4 3 5 5" xfId="7361" xr:uid="{BCF646D4-3CC6-4823-8019-FF3D93DE9BE7}"/>
    <cellStyle name="Normal 4 4 3 6" xfId="7362" xr:uid="{5B77F6A9-40CF-41DA-9D8A-8F5882B24B32}"/>
    <cellStyle name="Normal 4 4 3 6 2" xfId="7363" xr:uid="{B6A0B8C8-F576-4D2A-B5C5-3DFCD0BB79CA}"/>
    <cellStyle name="Normal 4 4 3 6 3" xfId="7364" xr:uid="{F0A3CCEC-8201-4DE8-BEE8-A7B76E4F0B48}"/>
    <cellStyle name="Normal 4 4 3 7" xfId="7365" xr:uid="{A9E250B6-3500-4E61-9603-1596F35AC5B9}"/>
    <cellStyle name="Normal 4 4 3 8" xfId="7366" xr:uid="{15C690C7-0DB1-4275-84BE-04BEF48D4188}"/>
    <cellStyle name="Normal 4 4 3 9" xfId="7367" xr:uid="{3A6D9D8A-0978-43ED-BE9E-9424C47839F1}"/>
    <cellStyle name="Normal 4 4 4" xfId="7368" xr:uid="{10EB757B-40CC-410E-A1D2-617BFDFD45B5}"/>
    <cellStyle name="Normal 4 4 4 2" xfId="7369" xr:uid="{E70620EF-A158-4436-A4F7-D9AB615988EB}"/>
    <cellStyle name="Normal 4 4 4 2 2" xfId="7370" xr:uid="{5DDFB911-9493-4337-9374-36360F2BCF11}"/>
    <cellStyle name="Normal 4 4 4 2 2 2" xfId="7371" xr:uid="{43777BF6-3D9C-4F52-8FC5-9AA0B3F7074C}"/>
    <cellStyle name="Normal 4 4 4 2 2 2 2" xfId="7372" xr:uid="{90398BFB-6DDD-481E-AC2D-9596F71F4269}"/>
    <cellStyle name="Normal 4 4 4 2 2 2 2 2" xfId="7373" xr:uid="{34662F1D-8C23-4F0E-B42A-8042BD7BB3E6}"/>
    <cellStyle name="Normal 4 4 4 2 2 2 2 3" xfId="7374" xr:uid="{DD228AEC-6976-4EF1-9F14-EA6CDD5DDFE0}"/>
    <cellStyle name="Normal 4 4 4 2 2 2 3" xfId="7375" xr:uid="{A2545C2C-B9BD-4B3B-928D-49A589B074C8}"/>
    <cellStyle name="Normal 4 4 4 2 2 2 4" xfId="7376" xr:uid="{9BB5CC8A-3105-49A6-8BBD-E0D43DB77D59}"/>
    <cellStyle name="Normal 4 4 4 2 2 2 5" xfId="7377" xr:uid="{FD6ACB9E-F26B-420E-BDAC-83D2A7FE360B}"/>
    <cellStyle name="Normal 4 4 4 2 2 3" xfId="7378" xr:uid="{0D24CD7E-DA34-48F0-BAEF-FB9884DC6840}"/>
    <cellStyle name="Normal 4 4 4 2 2 3 2" xfId="7379" xr:uid="{D4B587FC-A36E-4E22-A702-73699802675A}"/>
    <cellStyle name="Normal 4 4 4 2 2 3 2 2" xfId="7380" xr:uid="{E2ED24C4-DD6D-4CE5-AA62-489C36CD971B}"/>
    <cellStyle name="Normal 4 4 4 2 2 3 2 3" xfId="7381" xr:uid="{ADE7E2C3-E496-404D-AA6C-574D04CB65C6}"/>
    <cellStyle name="Normal 4 4 4 2 2 3 3" xfId="7382" xr:uid="{98EB8245-A184-4A9D-9A8A-AA6C8206045B}"/>
    <cellStyle name="Normal 4 4 4 2 2 3 4" xfId="7383" xr:uid="{4149741A-F304-4820-A005-6E82C0014315}"/>
    <cellStyle name="Normal 4 4 4 2 2 3 5" xfId="7384" xr:uid="{FAB761C0-D6B5-499D-9D09-E290FDBF6C90}"/>
    <cellStyle name="Normal 4 4 4 2 2 4" xfId="7385" xr:uid="{50273F4F-4D26-4368-BA6E-63093FFFA1C5}"/>
    <cellStyle name="Normal 4 4 4 2 2 4 2" xfId="7386" xr:uid="{1367EFB1-4072-4400-971A-596B56764277}"/>
    <cellStyle name="Normal 4 4 4 2 2 4 3" xfId="7387" xr:uid="{A3DC31D8-2628-4B39-AE13-31DC697127AB}"/>
    <cellStyle name="Normal 4 4 4 2 2 5" xfId="7388" xr:uid="{74F7F913-DA94-48BA-9A2E-894476E12297}"/>
    <cellStyle name="Normal 4 4 4 2 2 6" xfId="7389" xr:uid="{4829003A-6D1E-4230-9923-16B7879400B1}"/>
    <cellStyle name="Normal 4 4 4 2 2 7" xfId="7390" xr:uid="{47BD10B9-E2FE-46AA-B47C-204411E57508}"/>
    <cellStyle name="Normal 4 4 4 2 3" xfId="7391" xr:uid="{9E005C3E-BA2A-455D-B265-06A2F8D0ED4C}"/>
    <cellStyle name="Normal 4 4 4 2 3 2" xfId="7392" xr:uid="{278B92CE-9171-4C7C-B07C-A22A836FB5F5}"/>
    <cellStyle name="Normal 4 4 4 2 3 2 2" xfId="7393" xr:uid="{9F29EC46-6252-4DF1-B5A3-04E04068A03D}"/>
    <cellStyle name="Normal 4 4 4 2 3 2 3" xfId="7394" xr:uid="{76556D69-75E6-459F-B33C-2F8E9C936263}"/>
    <cellStyle name="Normal 4 4 4 2 3 3" xfId="7395" xr:uid="{FC7FE905-F169-4DF0-944A-C056A5CFC5EC}"/>
    <cellStyle name="Normal 4 4 4 2 3 4" xfId="7396" xr:uid="{910571BD-85C2-4F51-8DB9-ED6922D497DA}"/>
    <cellStyle name="Normal 4 4 4 2 3 5" xfId="7397" xr:uid="{16FFB07D-499E-49C0-9FBE-B9BBC9750A78}"/>
    <cellStyle name="Normal 4 4 4 2 4" xfId="7398" xr:uid="{A29015FC-38DD-479B-A1E3-EFF2FBC8C4BF}"/>
    <cellStyle name="Normal 4 4 4 2 4 2" xfId="7399" xr:uid="{E5A4CFA1-2534-49E3-809D-E9191A3F680A}"/>
    <cellStyle name="Normal 4 4 4 2 4 2 2" xfId="7400" xr:uid="{37D4A557-B6EB-4659-AC8D-B4CB397788FC}"/>
    <cellStyle name="Normal 4 4 4 2 4 2 3" xfId="7401" xr:uid="{D8556BFE-300D-46D4-A8CA-6150AD989285}"/>
    <cellStyle name="Normal 4 4 4 2 4 3" xfId="7402" xr:uid="{AC0A7557-A9CD-4D7B-88F2-AC88A339ED2E}"/>
    <cellStyle name="Normal 4 4 4 2 4 4" xfId="7403" xr:uid="{FBE5D912-ACD3-40EE-A68E-F628C7A64E09}"/>
    <cellStyle name="Normal 4 4 4 2 4 5" xfId="7404" xr:uid="{B68CD199-14D4-418A-8756-F3F5AAC36A62}"/>
    <cellStyle name="Normal 4 4 4 2 5" xfId="7405" xr:uid="{A26919A1-C130-48CB-B44F-7C1C78C093FB}"/>
    <cellStyle name="Normal 4 4 4 2 5 2" xfId="7406" xr:uid="{DB02D8B1-E34F-4505-BBCF-79B13126920C}"/>
    <cellStyle name="Normal 4 4 4 2 5 3" xfId="7407" xr:uid="{1209ADCA-CFA6-4F60-995C-BC484AFA1585}"/>
    <cellStyle name="Normal 4 4 4 2 6" xfId="7408" xr:uid="{A036CE2D-9F29-4BEC-9A2C-3AD6C3C6AA86}"/>
    <cellStyle name="Normal 4 4 4 2 7" xfId="7409" xr:uid="{B65F77CC-2571-4A68-B125-68A3E1D93D01}"/>
    <cellStyle name="Normal 4 4 4 2 8" xfId="7410" xr:uid="{28DA2609-401A-41CA-8E69-C492DD2884F3}"/>
    <cellStyle name="Normal 4 4 4 3" xfId="7411" xr:uid="{DB6DFB8F-E2BA-4220-9592-9A51E1864AAD}"/>
    <cellStyle name="Normal 4 4 4 3 2" xfId="7412" xr:uid="{98C09873-0886-4A08-81F0-986D5C3230B1}"/>
    <cellStyle name="Normal 4 4 4 3 2 2" xfId="7413" xr:uid="{6902C8A3-7D55-4DCD-BC8A-6131ACBCE273}"/>
    <cellStyle name="Normal 4 4 4 3 2 2 2" xfId="7414" xr:uid="{EF70AA46-2F2F-43ED-A970-5156F3EA78FC}"/>
    <cellStyle name="Normal 4 4 4 3 2 2 3" xfId="7415" xr:uid="{3A622102-9902-4A28-8F0E-F441DB1D3905}"/>
    <cellStyle name="Normal 4 4 4 3 2 3" xfId="7416" xr:uid="{C59EBE2D-EE20-460B-A161-2012C23F27F7}"/>
    <cellStyle name="Normal 4 4 4 3 2 4" xfId="7417" xr:uid="{E851AE73-DED2-4CE7-B4FD-3670946C040F}"/>
    <cellStyle name="Normal 4 4 4 3 2 5" xfId="7418" xr:uid="{B21401E3-F25A-4CDA-B861-1429B8C05593}"/>
    <cellStyle name="Normal 4 4 4 3 3" xfId="7419" xr:uid="{F0984D75-8350-4A66-8FEE-5386138BC0E2}"/>
    <cellStyle name="Normal 4 4 4 3 3 2" xfId="7420" xr:uid="{B00563B1-3664-482C-A911-BA55E780B397}"/>
    <cellStyle name="Normal 4 4 4 3 3 2 2" xfId="7421" xr:uid="{37C3E6D7-2004-4180-BBDF-CE1A5D7D47AD}"/>
    <cellStyle name="Normal 4 4 4 3 3 2 3" xfId="7422" xr:uid="{CB16EE81-A7A3-4581-B97B-163AEB5CB8F5}"/>
    <cellStyle name="Normal 4 4 4 3 3 3" xfId="7423" xr:uid="{2F9467B1-B350-4DBE-B58D-FFCD42738308}"/>
    <cellStyle name="Normal 4 4 4 3 3 4" xfId="7424" xr:uid="{279BC47A-1E13-4564-9E8B-776D3CAB5CA9}"/>
    <cellStyle name="Normal 4 4 4 3 3 5" xfId="7425" xr:uid="{59B4E6D8-B6D1-4549-9ADD-46F1B65C29DE}"/>
    <cellStyle name="Normal 4 4 4 3 4" xfId="7426" xr:uid="{8CC00CA1-C584-4BD8-8028-6C7E2F376A5E}"/>
    <cellStyle name="Normal 4 4 4 3 4 2" xfId="7427" xr:uid="{51E9EDBE-AB53-45D0-923E-88296B212CA2}"/>
    <cellStyle name="Normal 4 4 4 3 4 3" xfId="7428" xr:uid="{42019709-C4D2-46BF-B166-5ABDFFB29B21}"/>
    <cellStyle name="Normal 4 4 4 3 5" xfId="7429" xr:uid="{6E655034-A3ED-447D-BCB1-C4EFBBBD6BEF}"/>
    <cellStyle name="Normal 4 4 4 3 6" xfId="7430" xr:uid="{B5F36EC2-F685-46E3-9D49-854651C3B478}"/>
    <cellStyle name="Normal 4 4 4 3 7" xfId="7431" xr:uid="{762D2CCB-3774-4A9D-B258-33A0A1895034}"/>
    <cellStyle name="Normal 4 4 4 4" xfId="7432" xr:uid="{CDF2F1BE-CD7F-484C-9085-3217D85D5014}"/>
    <cellStyle name="Normal 4 4 4 4 2" xfId="7433" xr:uid="{491877C1-5B51-484D-8219-6B0870FB95B4}"/>
    <cellStyle name="Normal 4 4 4 4 2 2" xfId="7434" xr:uid="{3D9FEB13-C119-4D99-945A-5B6FF22DC8CA}"/>
    <cellStyle name="Normal 4 4 4 4 2 3" xfId="7435" xr:uid="{E7569D39-47E8-45C3-8482-8F6F6A080798}"/>
    <cellStyle name="Normal 4 4 4 4 3" xfId="7436" xr:uid="{A0DACB19-DB3D-46AC-9EF3-A54886ED7CDE}"/>
    <cellStyle name="Normal 4 4 4 4 4" xfId="7437" xr:uid="{C3BC601E-66A2-4DC9-8C79-78E52191216B}"/>
    <cellStyle name="Normal 4 4 4 4 5" xfId="7438" xr:uid="{9169FFA1-D77C-4E5E-AF36-F6444F9AF1E2}"/>
    <cellStyle name="Normal 4 4 4 5" xfId="7439" xr:uid="{FC5977D6-4E86-47A2-AC28-48C185C662AE}"/>
    <cellStyle name="Normal 4 4 4 5 2" xfId="7440" xr:uid="{F854422D-B615-4AC2-8C9F-787A7CD0D565}"/>
    <cellStyle name="Normal 4 4 4 5 2 2" xfId="7441" xr:uid="{2B656362-384F-4F17-A052-AD29B278B9EB}"/>
    <cellStyle name="Normal 4 4 4 5 2 3" xfId="7442" xr:uid="{EE596558-E8B1-4001-A15F-7DD7DBFFCFB8}"/>
    <cellStyle name="Normal 4 4 4 5 3" xfId="7443" xr:uid="{81C72931-ABBF-4960-BCAC-4FD30405BC5A}"/>
    <cellStyle name="Normal 4 4 4 5 4" xfId="7444" xr:uid="{40CFEC33-8A8B-49CB-9722-AEACB41EB3E4}"/>
    <cellStyle name="Normal 4 4 4 5 5" xfId="7445" xr:uid="{48913151-DB4D-48A5-9D21-F4B8B7B3E82E}"/>
    <cellStyle name="Normal 4 4 4 6" xfId="7446" xr:uid="{59439741-42D0-4268-98AF-1C3503CE7FFA}"/>
    <cellStyle name="Normal 4 4 4 6 2" xfId="7447" xr:uid="{CB37C1AE-E15B-4D39-A34D-ADA6527F70BD}"/>
    <cellStyle name="Normal 4 4 4 6 3" xfId="7448" xr:uid="{5DA519D8-7DCE-4BEF-A8C1-D3FD8EBFE3AB}"/>
    <cellStyle name="Normal 4 4 4 7" xfId="7449" xr:uid="{61069FA2-0BD6-4A1D-9717-F9AE56542CE7}"/>
    <cellStyle name="Normal 4 4 4 8" xfId="7450" xr:uid="{89ABEB2E-8BB7-41E7-BE47-2C4325BA5241}"/>
    <cellStyle name="Normal 4 4 4 9" xfId="7451" xr:uid="{745AC399-4AFF-4F5B-9C86-F21B9791A7FA}"/>
    <cellStyle name="Normal 4 4 5" xfId="7452" xr:uid="{E28F036B-9C88-4F09-9545-83F548EF0A85}"/>
    <cellStyle name="Normal 4 4 5 2" xfId="7453" xr:uid="{142075C3-37EA-4F70-ADFB-D93F22372422}"/>
    <cellStyle name="Normal 4 4 5 2 2" xfId="7454" xr:uid="{F6AD70DE-705D-439E-8C41-A68772B02656}"/>
    <cellStyle name="Normal 4 4 5 2 2 2" xfId="7455" xr:uid="{15F7B94B-B84F-43B4-A7E4-2C6C7C7FAEAF}"/>
    <cellStyle name="Normal 4 4 5 2 2 2 2" xfId="7456" xr:uid="{0F13EC6B-D526-4FE3-9C39-7AA419298166}"/>
    <cellStyle name="Normal 4 4 5 2 2 2 2 2" xfId="7457" xr:uid="{A28AE22D-C216-4BB0-B437-8FDE4B93E213}"/>
    <cellStyle name="Normal 4 4 5 2 2 2 2 3" xfId="7458" xr:uid="{2B19BD71-D065-407C-81A2-092951A63449}"/>
    <cellStyle name="Normal 4 4 5 2 2 2 3" xfId="7459" xr:uid="{0F6B98BE-9861-4175-811B-543C63534454}"/>
    <cellStyle name="Normal 4 4 5 2 2 2 4" xfId="7460" xr:uid="{070D3856-6924-4395-84DB-EFF8B4948B20}"/>
    <cellStyle name="Normal 4 4 5 2 2 2 5" xfId="7461" xr:uid="{0EF3C340-7FE0-42A7-AFD5-97F90652B818}"/>
    <cellStyle name="Normal 4 4 5 2 2 3" xfId="7462" xr:uid="{0C6392FB-A0AB-435E-A44C-5CB037880E4F}"/>
    <cellStyle name="Normal 4 4 5 2 2 3 2" xfId="7463" xr:uid="{7C9BE1FB-8799-4FA9-93DF-5D66F1A71EA3}"/>
    <cellStyle name="Normal 4 4 5 2 2 3 2 2" xfId="7464" xr:uid="{FD448E83-9299-4117-8F87-222EC83A036F}"/>
    <cellStyle name="Normal 4 4 5 2 2 3 2 3" xfId="7465" xr:uid="{708C013D-2D42-4213-AA89-EFDC7F2A43FF}"/>
    <cellStyle name="Normal 4 4 5 2 2 3 3" xfId="7466" xr:uid="{37A56CA9-DD2F-4EB4-8589-69F8819F4DDB}"/>
    <cellStyle name="Normal 4 4 5 2 2 3 4" xfId="7467" xr:uid="{70CE8AB3-0197-46E0-9559-B0821EB37E77}"/>
    <cellStyle name="Normal 4 4 5 2 2 3 5" xfId="7468" xr:uid="{D5347F3B-0EF6-48AE-8032-8689B310AC9E}"/>
    <cellStyle name="Normal 4 4 5 2 2 4" xfId="7469" xr:uid="{59CC5B18-CD04-4CBD-94FB-8AC393CD0D4A}"/>
    <cellStyle name="Normal 4 4 5 2 2 4 2" xfId="7470" xr:uid="{5B2AEED8-0D3D-4A33-9947-F44CF0736EB0}"/>
    <cellStyle name="Normal 4 4 5 2 2 4 3" xfId="7471" xr:uid="{DB4C9DCE-8CD2-4151-ACFC-7CEE90424415}"/>
    <cellStyle name="Normal 4 4 5 2 2 5" xfId="7472" xr:uid="{EB16A1C3-5E21-4331-9A9A-1175BBA87685}"/>
    <cellStyle name="Normal 4 4 5 2 2 6" xfId="7473" xr:uid="{28345EDD-A648-4ABB-BA85-ACFBEAD18240}"/>
    <cellStyle name="Normal 4 4 5 2 2 7" xfId="7474" xr:uid="{DA759E21-6823-4C73-B378-430ACE170319}"/>
    <cellStyle name="Normal 4 4 5 2 3" xfId="7475" xr:uid="{F1BEC72E-B5FF-4F9B-AA8D-B3A607FBB1AD}"/>
    <cellStyle name="Normal 4 4 5 2 3 2" xfId="7476" xr:uid="{FC4D20DA-ED4C-4274-8511-DF82D4409A9E}"/>
    <cellStyle name="Normal 4 4 5 2 3 2 2" xfId="7477" xr:uid="{D3ADBC7F-B144-4A37-814D-EECE41BA10FB}"/>
    <cellStyle name="Normal 4 4 5 2 3 2 3" xfId="7478" xr:uid="{504BB7D7-913D-4736-86C5-563A9F09FDCE}"/>
    <cellStyle name="Normal 4 4 5 2 3 3" xfId="7479" xr:uid="{09925011-AFC3-4463-8E18-DCA9A9A2A9C0}"/>
    <cellStyle name="Normal 4 4 5 2 3 4" xfId="7480" xr:uid="{4DB68DAC-5B7F-4FE9-B0C8-687238CF894D}"/>
    <cellStyle name="Normal 4 4 5 2 3 5" xfId="7481" xr:uid="{87E2F011-3415-4417-9422-BD5A8D10C114}"/>
    <cellStyle name="Normal 4 4 5 2 4" xfId="7482" xr:uid="{7A91C485-2DC7-4E96-BD19-E0ED223B45CE}"/>
    <cellStyle name="Normal 4 4 5 2 4 2" xfId="7483" xr:uid="{DF3B81CA-876F-4471-936F-F6A1C98A4B9A}"/>
    <cellStyle name="Normal 4 4 5 2 4 2 2" xfId="7484" xr:uid="{7B35DE83-1714-4438-A2AE-2D1172126E50}"/>
    <cellStyle name="Normal 4 4 5 2 4 2 3" xfId="7485" xr:uid="{1051D2E4-1D02-40B3-9FDD-462C144522F8}"/>
    <cellStyle name="Normal 4 4 5 2 4 3" xfId="7486" xr:uid="{44CE8921-C0F1-4D5A-A1BC-DC2818EEBCC8}"/>
    <cellStyle name="Normal 4 4 5 2 4 4" xfId="7487" xr:uid="{9630E3F6-A861-4099-B45A-AF68007B7E32}"/>
    <cellStyle name="Normal 4 4 5 2 4 5" xfId="7488" xr:uid="{86E6C1E3-74DB-4980-8E33-0DFFFE6E0C84}"/>
    <cellStyle name="Normal 4 4 5 2 5" xfId="7489" xr:uid="{40E5CCB1-5285-4A6F-8EDE-57F1C38BDC32}"/>
    <cellStyle name="Normal 4 4 5 2 5 2" xfId="7490" xr:uid="{F9061C92-F279-4B34-85C0-D900674732DA}"/>
    <cellStyle name="Normal 4 4 5 2 5 3" xfId="7491" xr:uid="{69CD1828-388D-449F-929C-82F113DDC0D9}"/>
    <cellStyle name="Normal 4 4 5 2 6" xfId="7492" xr:uid="{FA59BDDC-E044-4FAA-99D3-6C9A5E830973}"/>
    <cellStyle name="Normal 4 4 5 2 7" xfId="7493" xr:uid="{A053242C-D5ED-493B-9C56-432E66D7668D}"/>
    <cellStyle name="Normal 4 4 5 2 8" xfId="7494" xr:uid="{364370D8-6E94-4244-9B6A-B558B46ED97D}"/>
    <cellStyle name="Normal 4 4 5 3" xfId="7495" xr:uid="{442B614C-6B87-4A54-8559-8C9DAA27C7A4}"/>
    <cellStyle name="Normal 4 4 5 3 2" xfId="7496" xr:uid="{1213FFCD-420B-4043-9D0F-87A64B581F5E}"/>
    <cellStyle name="Normal 4 4 5 3 2 2" xfId="7497" xr:uid="{6C14F388-15E0-4A8C-83B9-823A0404D29C}"/>
    <cellStyle name="Normal 4 4 5 3 2 2 2" xfId="7498" xr:uid="{411918BE-60F3-407A-A31D-4935FB999BB6}"/>
    <cellStyle name="Normal 4 4 5 3 2 2 3" xfId="7499" xr:uid="{6E3EE7DE-6613-4D72-9008-914B67418077}"/>
    <cellStyle name="Normal 4 4 5 3 2 3" xfId="7500" xr:uid="{EA5B379F-E3D2-407B-A0B9-2AE4DF11F3ED}"/>
    <cellStyle name="Normal 4 4 5 3 2 4" xfId="7501" xr:uid="{645201FE-E083-484E-B083-59F5C5719595}"/>
    <cellStyle name="Normal 4 4 5 3 2 5" xfId="7502" xr:uid="{5A7A52D2-6284-42E7-9B0C-356607A7D35A}"/>
    <cellStyle name="Normal 4 4 5 3 3" xfId="7503" xr:uid="{2EF8C5C1-4F8A-4E43-90BB-5D7E59AE5B8E}"/>
    <cellStyle name="Normal 4 4 5 3 3 2" xfId="7504" xr:uid="{463417D5-68D2-467A-8CF3-65D3C0A2D91B}"/>
    <cellStyle name="Normal 4 4 5 3 3 2 2" xfId="7505" xr:uid="{44D74143-F67E-48CF-9C27-9516F878A1CB}"/>
    <cellStyle name="Normal 4 4 5 3 3 2 3" xfId="7506" xr:uid="{B399A93E-7DA9-403F-BE67-DF9C5B4F6CAE}"/>
    <cellStyle name="Normal 4 4 5 3 3 3" xfId="7507" xr:uid="{7087B34E-D939-4AE8-880D-65A7B6C78D6F}"/>
    <cellStyle name="Normal 4 4 5 3 3 4" xfId="7508" xr:uid="{0CDABF58-FFB2-44B5-8394-D01064181270}"/>
    <cellStyle name="Normal 4 4 5 3 3 5" xfId="7509" xr:uid="{0BADD9D1-14BC-42AD-98BD-0A54A45449F9}"/>
    <cellStyle name="Normal 4 4 5 3 4" xfId="7510" xr:uid="{EA59A447-056C-426B-8C17-5E9C5E52B431}"/>
    <cellStyle name="Normal 4 4 5 3 4 2" xfId="7511" xr:uid="{864C2A3E-0C27-4D03-9062-4F6824A4DE29}"/>
    <cellStyle name="Normal 4 4 5 3 4 3" xfId="7512" xr:uid="{162C7E23-DD40-467B-A6DD-FA30F2C6866D}"/>
    <cellStyle name="Normal 4 4 5 3 5" xfId="7513" xr:uid="{77422FA1-8F84-4676-AD7A-D5258D6C68C3}"/>
    <cellStyle name="Normal 4 4 5 3 6" xfId="7514" xr:uid="{05EE8F13-DA63-4EA8-99BF-993E41B2C97C}"/>
    <cellStyle name="Normal 4 4 5 3 7" xfId="7515" xr:uid="{D7F5635C-D335-4CD9-BA9B-0EB35724D183}"/>
    <cellStyle name="Normal 4 4 5 4" xfId="7516" xr:uid="{068F7529-4397-4C22-BE28-7B507BA2EFB3}"/>
    <cellStyle name="Normal 4 4 5 4 2" xfId="7517" xr:uid="{B1AB848C-620E-47E3-B364-3E1C3F8E625B}"/>
    <cellStyle name="Normal 4 4 5 4 2 2" xfId="7518" xr:uid="{F7BD6372-577A-4B6A-A407-A5DE4806EBE5}"/>
    <cellStyle name="Normal 4 4 5 4 2 3" xfId="7519" xr:uid="{B172BF69-2353-40E9-8361-DFFA8C394AB8}"/>
    <cellStyle name="Normal 4 4 5 4 3" xfId="7520" xr:uid="{7D92589C-3EB6-4BC8-BBEE-065FD03A5AA1}"/>
    <cellStyle name="Normal 4 4 5 4 4" xfId="7521" xr:uid="{1DB0273E-9942-48E1-8A43-F924C81B80F5}"/>
    <cellStyle name="Normal 4 4 5 4 5" xfId="7522" xr:uid="{44B0A03C-CAF1-4352-A1B3-DEC58A9DC2DC}"/>
    <cellStyle name="Normal 4 4 5 5" xfId="7523" xr:uid="{891006BC-E877-4930-BE58-9D314C3EE339}"/>
    <cellStyle name="Normal 4 4 5 5 2" xfId="7524" xr:uid="{4EBEAB73-79E1-4D66-BB25-DBA2D01BDCEC}"/>
    <cellStyle name="Normal 4 4 5 5 2 2" xfId="7525" xr:uid="{54B54A08-FD46-4A6B-A1F2-46D9161FFB56}"/>
    <cellStyle name="Normal 4 4 5 5 2 3" xfId="7526" xr:uid="{5265FE8F-25E9-4E44-A49B-BB6B0F118305}"/>
    <cellStyle name="Normal 4 4 5 5 3" xfId="7527" xr:uid="{636C8635-4E16-423F-AF56-8C1BC28EBB87}"/>
    <cellStyle name="Normal 4 4 5 5 4" xfId="7528" xr:uid="{4E68E57D-6584-43AD-BE64-147256186120}"/>
    <cellStyle name="Normal 4 4 5 5 5" xfId="7529" xr:uid="{E67E7679-9046-4E8A-A5A5-3C1A4456FC77}"/>
    <cellStyle name="Normal 4 4 5 6" xfId="7530" xr:uid="{39E49283-CA2E-49F5-BA7E-9A89AF30EC97}"/>
    <cellStyle name="Normal 4 4 5 6 2" xfId="7531" xr:uid="{679D1226-D228-4360-8929-C5E62C03B383}"/>
    <cellStyle name="Normal 4 4 5 6 3" xfId="7532" xr:uid="{E8B28993-AA3B-4030-B82F-B93598FB1748}"/>
    <cellStyle name="Normal 4 4 5 7" xfId="7533" xr:uid="{2C1B0627-10A1-488A-A241-106F74979A5C}"/>
    <cellStyle name="Normal 4 4 5 8" xfId="7534" xr:uid="{501DEA19-9924-4EBD-B25A-97190356C4DA}"/>
    <cellStyle name="Normal 4 4 5 9" xfId="7535" xr:uid="{E262F02D-A421-4CBD-9355-B1B36A9AB64E}"/>
    <cellStyle name="Normal 4 4 6" xfId="7536" xr:uid="{E5F0C5E4-4AFA-46A9-AC55-F46B2753AF51}"/>
    <cellStyle name="Normal 4 4 6 2" xfId="7537" xr:uid="{2496209E-8258-47A3-A8C6-787DC2E7C1C3}"/>
    <cellStyle name="Normal 4 4 6 2 2" xfId="7538" xr:uid="{956485DB-C4A7-4A88-B5CC-0D070E333D22}"/>
    <cellStyle name="Normal 4 4 6 2 2 2" xfId="7539" xr:uid="{0B8CB502-B4C8-4C9D-B043-17E3AD98801A}"/>
    <cellStyle name="Normal 4 4 6 2 2 2 2" xfId="7540" xr:uid="{C8248E24-A388-49E9-A60F-902F7FC6EC3C}"/>
    <cellStyle name="Normal 4 4 6 2 2 2 3" xfId="7541" xr:uid="{8C81716F-71D1-4BB6-891C-A1C5BB526DC5}"/>
    <cellStyle name="Normal 4 4 6 2 2 3" xfId="7542" xr:uid="{900D9764-FE46-4270-AEAE-75F57C10054C}"/>
    <cellStyle name="Normal 4 4 6 2 2 4" xfId="7543" xr:uid="{AC744682-3676-491D-80E1-EBB7A9563AF9}"/>
    <cellStyle name="Normal 4 4 6 2 2 5" xfId="7544" xr:uid="{A23BC3DD-8117-4B62-B69B-2E82C18B238F}"/>
    <cellStyle name="Normal 4 4 6 2 3" xfId="7545" xr:uid="{DCE60882-20CA-4914-B703-0F445155B916}"/>
    <cellStyle name="Normal 4 4 6 2 3 2" xfId="7546" xr:uid="{96D50D68-4DEC-4039-9661-E252140959C0}"/>
    <cellStyle name="Normal 4 4 6 2 3 2 2" xfId="7547" xr:uid="{0F73700D-4B41-4BBC-B82B-F937B4381A56}"/>
    <cellStyle name="Normal 4 4 6 2 3 2 3" xfId="7548" xr:uid="{6BB63C95-1B7C-4588-835D-B0CBD45EB6CB}"/>
    <cellStyle name="Normal 4 4 6 2 3 3" xfId="7549" xr:uid="{DD54C78E-3AD0-4477-BA53-3A588308831C}"/>
    <cellStyle name="Normal 4 4 6 2 3 4" xfId="7550" xr:uid="{0698CDFF-5394-4E08-AE53-BDC7A0D9C641}"/>
    <cellStyle name="Normal 4 4 6 2 3 5" xfId="7551" xr:uid="{A68AF04D-2B61-496E-93C7-346490959D24}"/>
    <cellStyle name="Normal 4 4 6 2 4" xfId="7552" xr:uid="{CC2729CB-394A-429D-82C1-7CB870EF6557}"/>
    <cellStyle name="Normal 4 4 6 2 4 2" xfId="7553" xr:uid="{36E39BA3-40AD-4111-BA67-781668A632E1}"/>
    <cellStyle name="Normal 4 4 6 2 4 3" xfId="7554" xr:uid="{FCA72A41-D7A2-4607-BF33-9CABF7DF7140}"/>
    <cellStyle name="Normal 4 4 6 2 5" xfId="7555" xr:uid="{791E236D-8CB7-4942-A10B-7167B6B7DF9D}"/>
    <cellStyle name="Normal 4 4 6 2 6" xfId="7556" xr:uid="{94677BEF-0296-4876-9051-DEA292454D2F}"/>
    <cellStyle name="Normal 4 4 6 2 7" xfId="7557" xr:uid="{63713623-06CC-4053-B2CD-49D7BEAC8DC0}"/>
    <cellStyle name="Normal 4 4 6 3" xfId="7558" xr:uid="{D29BA90F-AF69-4938-B986-8C3BA12B2BD2}"/>
    <cellStyle name="Normal 4 4 6 3 2" xfId="7559" xr:uid="{7837DB3A-2888-43E4-BAE2-02E1785766BB}"/>
    <cellStyle name="Normal 4 4 6 3 2 2" xfId="7560" xr:uid="{559A3F2B-3A74-4E47-978B-B38B5602E30F}"/>
    <cellStyle name="Normal 4 4 6 3 2 3" xfId="7561" xr:uid="{6124F894-D019-4736-835F-652F7689712D}"/>
    <cellStyle name="Normal 4 4 6 3 3" xfId="7562" xr:uid="{6DA0EFA9-092A-45A3-98C6-9C02A95A0620}"/>
    <cellStyle name="Normal 4 4 6 3 4" xfId="7563" xr:uid="{9B872BEC-E6A8-4C72-93D3-62736D34008A}"/>
    <cellStyle name="Normal 4 4 6 3 5" xfId="7564" xr:uid="{E8697D8E-CB3D-4094-A974-BB88C29C5726}"/>
    <cellStyle name="Normal 4 4 6 4" xfId="7565" xr:uid="{CCF0E4FB-58A0-433C-BF08-224AF87B7C15}"/>
    <cellStyle name="Normal 4 4 6 4 2" xfId="7566" xr:uid="{E274E821-2400-49AA-8843-17BA27399CD3}"/>
    <cellStyle name="Normal 4 4 6 4 2 2" xfId="7567" xr:uid="{7D8FCF59-C9C8-4800-BC1D-AA258D9FA0E0}"/>
    <cellStyle name="Normal 4 4 6 4 2 3" xfId="7568" xr:uid="{3918F3DC-D35E-4AF0-8C21-4020E004BBD4}"/>
    <cellStyle name="Normal 4 4 6 4 3" xfId="7569" xr:uid="{DD42D941-FCE1-4FB3-A40B-0094F71AAEA2}"/>
    <cellStyle name="Normal 4 4 6 4 4" xfId="7570" xr:uid="{80FB27D1-BF33-4132-AF3F-4652357875A3}"/>
    <cellStyle name="Normal 4 4 6 4 5" xfId="7571" xr:uid="{81BB8ED3-1BAC-4D3E-9657-283930CB9718}"/>
    <cellStyle name="Normal 4 4 6 5" xfId="7572" xr:uid="{7AEE3092-B7AE-4261-9BEF-5EE3F2A42731}"/>
    <cellStyle name="Normal 4 4 6 5 2" xfId="7573" xr:uid="{94A5CB92-7770-4450-AB59-0E02C71B07E9}"/>
    <cellStyle name="Normal 4 4 6 5 3" xfId="7574" xr:uid="{31A5823A-C80E-4F26-8824-A413AFDE39D3}"/>
    <cellStyle name="Normal 4 4 6 6" xfId="7575" xr:uid="{A1A811ED-15C0-4319-B3C0-E9C275D404FC}"/>
    <cellStyle name="Normal 4 4 6 7" xfId="7576" xr:uid="{D6E084C5-7343-4645-B888-87256B075673}"/>
    <cellStyle name="Normal 4 4 6 8" xfId="7577" xr:uid="{14BBD708-84CB-438B-90CE-2CE962495AF8}"/>
    <cellStyle name="Normal 4 4 7" xfId="7578" xr:uid="{FCC4CB88-9B4E-4A52-88AE-AFC92BBFE34E}"/>
    <cellStyle name="Normal 4 4 7 2" xfId="7579" xr:uid="{43A3F19E-CA45-48F0-9594-B3301FC98186}"/>
    <cellStyle name="Normal 4 4 7 2 2" xfId="7580" xr:uid="{B534A4C3-BF5A-4659-91AF-414D50C0682C}"/>
    <cellStyle name="Normal 4 4 7 2 2 2" xfId="7581" xr:uid="{0E840E6C-A632-4DA3-AEE4-A9F5F73EEAAD}"/>
    <cellStyle name="Normal 4 4 7 2 2 3" xfId="7582" xr:uid="{5513853F-3839-4776-B994-A1B003014196}"/>
    <cellStyle name="Normal 4 4 7 2 3" xfId="7583" xr:uid="{6D9873E2-4F63-464D-8CE4-86202A001230}"/>
    <cellStyle name="Normal 4 4 7 2 4" xfId="7584" xr:uid="{3B485D46-5D3E-46BD-AF98-643E1785679D}"/>
    <cellStyle name="Normal 4 4 7 2 5" xfId="7585" xr:uid="{FBE66C48-1708-4D86-94BE-0D44912C2C27}"/>
    <cellStyle name="Normal 4 4 7 3" xfId="7586" xr:uid="{ED1C9B71-686C-46B7-BE24-4F6715D46FF4}"/>
    <cellStyle name="Normal 4 4 7 3 2" xfId="7587" xr:uid="{DB951EB1-3C60-47A7-B4FE-5BA97D73566D}"/>
    <cellStyle name="Normal 4 4 7 3 2 2" xfId="7588" xr:uid="{E5D4A733-804C-412D-9896-CDC9C386C159}"/>
    <cellStyle name="Normal 4 4 7 3 2 3" xfId="7589" xr:uid="{069C61FD-FCAA-415C-A013-5EB26F78965F}"/>
    <cellStyle name="Normal 4 4 7 3 3" xfId="7590" xr:uid="{1E4223FB-84B4-4DF2-86D6-DE5373946DB5}"/>
    <cellStyle name="Normal 4 4 7 3 4" xfId="7591" xr:uid="{F17FC4AC-2B11-46ED-82C4-D221EC4F38AA}"/>
    <cellStyle name="Normal 4 4 7 3 5" xfId="7592" xr:uid="{42FCC2BB-77A5-495D-AB76-C51DCAB2384F}"/>
    <cellStyle name="Normal 4 4 7 4" xfId="7593" xr:uid="{0CCD4F36-7313-4760-83E5-788E0ACA51A5}"/>
    <cellStyle name="Normal 4 4 7 4 2" xfId="7594" xr:uid="{DD62BD3A-93FD-4DBB-B372-9857F279F5BB}"/>
    <cellStyle name="Normal 4 4 7 4 3" xfId="7595" xr:uid="{9EC2823D-76F6-4807-8E86-013A99404E04}"/>
    <cellStyle name="Normal 4 4 7 5" xfId="7596" xr:uid="{8E2E80DA-0B75-4344-8242-498DE7C4AB63}"/>
    <cellStyle name="Normal 4 4 7 6" xfId="7597" xr:uid="{0A662B04-0465-4B88-A9C8-EC5233B23965}"/>
    <cellStyle name="Normal 4 4 7 7" xfId="7598" xr:uid="{31D1240B-B5CE-4ABF-925C-B4595B5FD7F2}"/>
    <cellStyle name="Normal 4 4 8" xfId="7599" xr:uid="{73B6AD6A-4B37-41F1-AD8A-76A534027013}"/>
    <cellStyle name="Normal 4 4 8 2" xfId="7600" xr:uid="{CA95F612-3B7F-4B70-990B-31C4897B7F79}"/>
    <cellStyle name="Normal 4 4 8 2 2" xfId="7601" xr:uid="{681E29E2-6716-472E-939C-27A32EACA7D9}"/>
    <cellStyle name="Normal 4 4 8 2 2 2" xfId="7602" xr:uid="{02A9BB89-510A-49CD-9BE5-031AF6AF2F8E}"/>
    <cellStyle name="Normal 4 4 8 2 2 3" xfId="7603" xr:uid="{A215C686-D699-4F9F-92BF-08C2DB23A610}"/>
    <cellStyle name="Normal 4 4 8 2 3" xfId="7604" xr:uid="{DEE82025-9653-41C4-AA54-C2AFAB12EF13}"/>
    <cellStyle name="Normal 4 4 8 2 4" xfId="7605" xr:uid="{8628ECF9-92FE-40EB-A70C-3D15BC778E13}"/>
    <cellStyle name="Normal 4 4 8 2 5" xfId="7606" xr:uid="{27C66778-B5D5-44B2-901B-4487DD6094F2}"/>
    <cellStyle name="Normal 4 4 8 3" xfId="7607" xr:uid="{C5C10D2D-09AF-47CB-8F87-D3E585A92427}"/>
    <cellStyle name="Normal 4 4 8 3 2" xfId="7608" xr:uid="{274D66F1-DF23-43BD-A7A4-7EEBD05016F8}"/>
    <cellStyle name="Normal 4 4 8 3 2 2" xfId="7609" xr:uid="{E4FD039E-2879-40F8-A10A-277F38BF980C}"/>
    <cellStyle name="Normal 4 4 8 3 2 3" xfId="7610" xr:uid="{459A8E75-6117-47CC-848D-39C5C338BD57}"/>
    <cellStyle name="Normal 4 4 8 3 3" xfId="7611" xr:uid="{35778C43-0B19-4419-93CE-8ABBF4C2EFF2}"/>
    <cellStyle name="Normal 4 4 8 3 4" xfId="7612" xr:uid="{EDC4CF40-FB89-4855-A3AF-CE917A3F863D}"/>
    <cellStyle name="Normal 4 4 8 3 5" xfId="7613" xr:uid="{9D1B3A9F-A803-47F8-9CF4-EA4D117F1D30}"/>
    <cellStyle name="Normal 4 4 8 4" xfId="7614" xr:uid="{3E63A8DA-AF17-419A-B53E-F05B0AADE6CE}"/>
    <cellStyle name="Normal 4 4 8 4 2" xfId="7615" xr:uid="{4D8FC48F-7109-4756-8DD9-5DC1F4E175CA}"/>
    <cellStyle name="Normal 4 4 8 4 3" xfId="7616" xr:uid="{72FF3943-BA44-4002-89EE-9F599DEEC529}"/>
    <cellStyle name="Normal 4 4 8 5" xfId="7617" xr:uid="{FEAE85F6-1CD0-46BA-9D71-5CE15682061F}"/>
    <cellStyle name="Normal 4 4 8 6" xfId="7618" xr:uid="{8399ECF6-9259-4C44-BC69-FD9F8D04B0A7}"/>
    <cellStyle name="Normal 4 4 8 7" xfId="7619" xr:uid="{CA222E8E-9DF4-403D-9E96-3EBAD1D861FB}"/>
    <cellStyle name="Normal 4 4 9" xfId="7620" xr:uid="{A338C6CF-3E77-42C8-A57C-2290BB8E5624}"/>
    <cellStyle name="Normal 4 4 9 2" xfId="7621" xr:uid="{13C34421-7FFF-4E88-A51F-085B0DB11B1C}"/>
    <cellStyle name="Normal 4 4 9 2 2" xfId="7622" xr:uid="{A449C3CA-9437-4AB9-A3D4-F73E90551392}"/>
    <cellStyle name="Normal 4 4 9 2 3" xfId="7623" xr:uid="{D0A097F5-993F-4F39-9CE0-C645876B71DD}"/>
    <cellStyle name="Normal 4 4 9 3" xfId="7624" xr:uid="{E54F6383-E098-4A8B-9A4A-7015744471D9}"/>
    <cellStyle name="Normal 4 4 9 4" xfId="7625" xr:uid="{94F5B42E-ADF0-4FDC-ADE6-22A6D5837B29}"/>
    <cellStyle name="Normal 4 4 9 5" xfId="7626" xr:uid="{534A7856-68DF-4B53-A0CA-706D20F3CC47}"/>
    <cellStyle name="Normal 4 5" xfId="1145" xr:uid="{8796D4B9-2011-4A56-A04F-128CF32879F2}"/>
    <cellStyle name="Normal 4 5 10" xfId="7627" xr:uid="{473B1D80-6496-4AEC-95CD-9DDD3FDDEC9B}"/>
    <cellStyle name="Normal 4 5 10 2" xfId="7628" xr:uid="{2B113563-FE9B-4B66-936D-1B7BC0DD4F42}"/>
    <cellStyle name="Normal 4 5 10 2 2" xfId="7629" xr:uid="{5AD1025C-EC0A-4CF9-8A75-48CB27FDBFA6}"/>
    <cellStyle name="Normal 4 5 10 2 3" xfId="7630" xr:uid="{2FEFE3A1-717F-48B0-9EE7-DF437BF1E079}"/>
    <cellStyle name="Normal 4 5 10 3" xfId="7631" xr:uid="{A128210C-6899-4846-94E1-054261C35BAA}"/>
    <cellStyle name="Normal 4 5 10 4" xfId="7632" xr:uid="{54BF7209-D7F4-472D-8EC0-77D1BB3C76D5}"/>
    <cellStyle name="Normal 4 5 10 5" xfId="7633" xr:uid="{F07D1E78-C63B-4CE0-BFF5-6FE34830F072}"/>
    <cellStyle name="Normal 4 5 11" xfId="7634" xr:uid="{8FC960D6-4242-46F4-B232-8DEDC8A5570D}"/>
    <cellStyle name="Normal 4 5 11 2" xfId="7635" xr:uid="{050CBA01-B740-4318-B0FD-47AB976863F0}"/>
    <cellStyle name="Normal 4 5 11 3" xfId="7636" xr:uid="{FCB29F87-8B74-42CF-A0B6-0F73603B066E}"/>
    <cellStyle name="Normal 4 5 12" xfId="7637" xr:uid="{2968218A-8646-4110-BCF5-62FA4FFCF89A}"/>
    <cellStyle name="Normal 4 5 13" xfId="7638" xr:uid="{A0AB05C0-B16D-447D-8F5D-B6C7B1907BF8}"/>
    <cellStyle name="Normal 4 5 14" xfId="7639" xr:uid="{36D183F3-B716-4330-A588-F17491C1B13B}"/>
    <cellStyle name="Normal 4 5 2" xfId="1248" xr:uid="{AF0F3C4B-7775-4B71-B418-96E1D2A2598F}"/>
    <cellStyle name="Normal 4 5 2 10" xfId="7640" xr:uid="{A4C3FC1D-9B50-4A26-BB22-8E9FA481B08C}"/>
    <cellStyle name="Normal 4 5 2 11" xfId="7641" xr:uid="{E7AF89C1-ED4E-414B-94C5-3072BC482010}"/>
    <cellStyle name="Normal 4 5 2 12" xfId="7642" xr:uid="{ABF23F95-E7F7-485B-A6C2-971A195AC155}"/>
    <cellStyle name="Normal 4 5 2 2" xfId="7643" xr:uid="{038411A3-1E71-4B34-B23C-6281416BC5ED}"/>
    <cellStyle name="Normal 4 5 2 2 2" xfId="7644" xr:uid="{EA55E5E3-ED35-4860-A0D0-F95D977D7C16}"/>
    <cellStyle name="Normal 4 5 2 2 2 2" xfId="7645" xr:uid="{81C7E8CC-8717-4E6C-AD61-C2424CFD7894}"/>
    <cellStyle name="Normal 4 5 2 2 2 2 2" xfId="7646" xr:uid="{2A325102-2991-4295-B528-8AE258D5827E}"/>
    <cellStyle name="Normal 4 5 2 2 2 2 2 2" xfId="7647" xr:uid="{2A153C10-581C-4BEC-91DC-C2B81B678716}"/>
    <cellStyle name="Normal 4 5 2 2 2 2 2 2 2" xfId="7648" xr:uid="{C36A8FDC-6266-4636-8672-83137275D90C}"/>
    <cellStyle name="Normal 4 5 2 2 2 2 2 2 3" xfId="7649" xr:uid="{CC41A0C1-0458-491B-8B30-2CCC9F4C5977}"/>
    <cellStyle name="Normal 4 5 2 2 2 2 2 3" xfId="7650" xr:uid="{E2F152B3-1CE9-4186-81EA-F4391B918BE4}"/>
    <cellStyle name="Normal 4 5 2 2 2 2 2 4" xfId="7651" xr:uid="{BC6D6135-A1E1-4ABB-853D-8236D6F01FFA}"/>
    <cellStyle name="Normal 4 5 2 2 2 2 2 5" xfId="7652" xr:uid="{DA2760CB-75E3-449C-B278-AE5BB79F9434}"/>
    <cellStyle name="Normal 4 5 2 2 2 2 3" xfId="7653" xr:uid="{A796090B-EF34-4445-AD0C-7E90709D1DA8}"/>
    <cellStyle name="Normal 4 5 2 2 2 2 3 2" xfId="7654" xr:uid="{9B5D6CCD-4B6F-4F08-AA85-C7796078D315}"/>
    <cellStyle name="Normal 4 5 2 2 2 2 3 2 2" xfId="7655" xr:uid="{076BC644-0235-41D7-BCFB-EB29DC39009E}"/>
    <cellStyle name="Normal 4 5 2 2 2 2 3 2 3" xfId="7656" xr:uid="{2CBEA6F7-479E-4D78-8435-3FE6A83E7553}"/>
    <cellStyle name="Normal 4 5 2 2 2 2 3 3" xfId="7657" xr:uid="{71C1C90B-2A97-479A-8409-29261010FE93}"/>
    <cellStyle name="Normal 4 5 2 2 2 2 3 4" xfId="7658" xr:uid="{D0537713-1E3E-47C2-A6F5-FDB5D8C54BEB}"/>
    <cellStyle name="Normal 4 5 2 2 2 2 3 5" xfId="7659" xr:uid="{0D5929E3-AB1B-428D-BFBA-22FB0E1166B7}"/>
    <cellStyle name="Normal 4 5 2 2 2 2 4" xfId="7660" xr:uid="{9EB2AD7A-22E9-4C1E-BB6C-439A8110C939}"/>
    <cellStyle name="Normal 4 5 2 2 2 2 4 2" xfId="7661" xr:uid="{6F11A2B9-0F2B-46A8-B0C0-C13DC9301A1E}"/>
    <cellStyle name="Normal 4 5 2 2 2 2 4 3" xfId="7662" xr:uid="{EF5C4BCE-6D3C-4F67-9999-7F7BBB886FA5}"/>
    <cellStyle name="Normal 4 5 2 2 2 2 5" xfId="7663" xr:uid="{65985945-1C9E-4552-8EE0-30CB32804680}"/>
    <cellStyle name="Normal 4 5 2 2 2 2 6" xfId="7664" xr:uid="{82D5BEF0-2A91-4C21-B947-3B5681BF2D6E}"/>
    <cellStyle name="Normal 4 5 2 2 2 2 7" xfId="7665" xr:uid="{BDC14084-02DB-443E-A84C-155F46DAE8CA}"/>
    <cellStyle name="Normal 4 5 2 2 2 3" xfId="7666" xr:uid="{749FC3AB-1303-4D6F-970B-639ECB5D076D}"/>
    <cellStyle name="Normal 4 5 2 2 2 3 2" xfId="7667" xr:uid="{0615FBD3-54B5-4270-8E53-E955243CCB0D}"/>
    <cellStyle name="Normal 4 5 2 2 2 3 2 2" xfId="7668" xr:uid="{5252D26A-4EA7-43DB-9D66-B223A88C738C}"/>
    <cellStyle name="Normal 4 5 2 2 2 3 2 3" xfId="7669" xr:uid="{DF0EB0EE-08FD-4C6C-95FD-4F52FEDB8E2A}"/>
    <cellStyle name="Normal 4 5 2 2 2 3 3" xfId="7670" xr:uid="{A3967371-7674-49BD-BF7E-B3C2E9ECEA16}"/>
    <cellStyle name="Normal 4 5 2 2 2 3 4" xfId="7671" xr:uid="{BF9979FE-EEF8-4C16-8B90-62D24DFCB800}"/>
    <cellStyle name="Normal 4 5 2 2 2 3 5" xfId="7672" xr:uid="{71820F5A-39C9-4BF8-AA8B-7353AC306912}"/>
    <cellStyle name="Normal 4 5 2 2 2 4" xfId="7673" xr:uid="{E85C3A9B-BD09-4BED-A09E-02323F65E7B7}"/>
    <cellStyle name="Normal 4 5 2 2 2 4 2" xfId="7674" xr:uid="{40798F1D-A4B4-4627-83ED-A8C449FE7274}"/>
    <cellStyle name="Normal 4 5 2 2 2 4 2 2" xfId="7675" xr:uid="{2B08E1AE-7B97-4587-8586-AFBE36212C77}"/>
    <cellStyle name="Normal 4 5 2 2 2 4 2 3" xfId="7676" xr:uid="{459A1B7B-DCE6-4893-9EC3-D26D4C74A73B}"/>
    <cellStyle name="Normal 4 5 2 2 2 4 3" xfId="7677" xr:uid="{68F629C6-D7C2-481C-94EB-E6338E54D6DF}"/>
    <cellStyle name="Normal 4 5 2 2 2 4 4" xfId="7678" xr:uid="{15FA7A04-D859-4A3A-8C34-CAB11AA42C68}"/>
    <cellStyle name="Normal 4 5 2 2 2 4 5" xfId="7679" xr:uid="{2F5DE783-C0EE-41E1-9953-40A8D67804B0}"/>
    <cellStyle name="Normal 4 5 2 2 2 5" xfId="7680" xr:uid="{278ED755-668A-4DB5-87EA-F327EDA13B6C}"/>
    <cellStyle name="Normal 4 5 2 2 2 5 2" xfId="7681" xr:uid="{C416C759-9C1F-412C-934F-C62607D2B5CC}"/>
    <cellStyle name="Normal 4 5 2 2 2 5 3" xfId="7682" xr:uid="{FDF3A69C-8976-45BC-87EF-A2A46689B39D}"/>
    <cellStyle name="Normal 4 5 2 2 2 6" xfId="7683" xr:uid="{01E19BD4-AD17-4480-8AB6-CC609D61A0B9}"/>
    <cellStyle name="Normal 4 5 2 2 2 7" xfId="7684" xr:uid="{48F2CC22-BDFB-4441-9FCB-F99433A46795}"/>
    <cellStyle name="Normal 4 5 2 2 2 8" xfId="7685" xr:uid="{E42DA449-53BD-463C-A4AC-A7990EDEF60A}"/>
    <cellStyle name="Normal 4 5 2 2 3" xfId="7686" xr:uid="{1EE49CE6-CEA6-4EE3-AF49-3BE29F3631A1}"/>
    <cellStyle name="Normal 4 5 2 2 3 2" xfId="7687" xr:uid="{79792932-54EE-4128-8C03-21D7AE7D6603}"/>
    <cellStyle name="Normal 4 5 2 2 3 2 2" xfId="7688" xr:uid="{850269DC-A5E0-4F1D-81B9-B955DDB8733D}"/>
    <cellStyle name="Normal 4 5 2 2 3 2 2 2" xfId="7689" xr:uid="{6A3433FE-7675-4569-B3F4-AC18DA4409FE}"/>
    <cellStyle name="Normal 4 5 2 2 3 2 2 3" xfId="7690" xr:uid="{6537ECFE-6968-44C6-A763-09D90857D58C}"/>
    <cellStyle name="Normal 4 5 2 2 3 2 3" xfId="7691" xr:uid="{1C516549-EFFA-4CC7-8419-F49293B0213B}"/>
    <cellStyle name="Normal 4 5 2 2 3 2 4" xfId="7692" xr:uid="{E5631C5F-5263-4820-BCA5-042FD278A7DF}"/>
    <cellStyle name="Normal 4 5 2 2 3 2 5" xfId="7693" xr:uid="{10C5B0F4-6E65-4E23-A319-6D1BE1768CBB}"/>
    <cellStyle name="Normal 4 5 2 2 3 3" xfId="7694" xr:uid="{15CC4346-FB2D-4BC4-8456-25EB8A68DBB5}"/>
    <cellStyle name="Normal 4 5 2 2 3 3 2" xfId="7695" xr:uid="{6579B92D-957C-4FB7-9F4E-34631953D938}"/>
    <cellStyle name="Normal 4 5 2 2 3 3 2 2" xfId="7696" xr:uid="{339E39E7-A040-4D4A-ABF7-993074BE17B8}"/>
    <cellStyle name="Normal 4 5 2 2 3 3 2 3" xfId="7697" xr:uid="{6C96F9FA-32AA-4E79-9A2C-98FA6487C7FA}"/>
    <cellStyle name="Normal 4 5 2 2 3 3 3" xfId="7698" xr:uid="{35BEA7B4-CB42-47A8-987F-4B25091BCED2}"/>
    <cellStyle name="Normal 4 5 2 2 3 3 4" xfId="7699" xr:uid="{5A51E852-4AC5-4663-8D74-2862BBCB135E}"/>
    <cellStyle name="Normal 4 5 2 2 3 3 5" xfId="7700" xr:uid="{77E97F3C-C7E7-4B58-BD2C-5E5481E1D8A8}"/>
    <cellStyle name="Normal 4 5 2 2 3 4" xfId="7701" xr:uid="{37D78269-859F-47C2-ACDA-722AC5BEAD2F}"/>
    <cellStyle name="Normal 4 5 2 2 3 4 2" xfId="7702" xr:uid="{54421516-CADE-43D7-9EEE-EA548126CF84}"/>
    <cellStyle name="Normal 4 5 2 2 3 4 3" xfId="7703" xr:uid="{30E3DB46-82AC-40FE-89E7-CFA245681E89}"/>
    <cellStyle name="Normal 4 5 2 2 3 5" xfId="7704" xr:uid="{28E86915-EB90-438F-A65B-12563A67D619}"/>
    <cellStyle name="Normal 4 5 2 2 3 6" xfId="7705" xr:uid="{CC3DFD4A-EA39-415A-8613-8ECAAE072EDA}"/>
    <cellStyle name="Normal 4 5 2 2 3 7" xfId="7706" xr:uid="{37ABEDC5-30D7-4B85-A854-491BF13490B0}"/>
    <cellStyle name="Normal 4 5 2 2 4" xfId="7707" xr:uid="{D255B80A-E7A5-4659-89A9-8539AC48CFC5}"/>
    <cellStyle name="Normal 4 5 2 2 4 2" xfId="7708" xr:uid="{5BA12F7A-DC1D-4E36-A231-C677727EE659}"/>
    <cellStyle name="Normal 4 5 2 2 4 2 2" xfId="7709" xr:uid="{51925B16-DDA2-4882-829A-36C2E977E026}"/>
    <cellStyle name="Normal 4 5 2 2 4 2 3" xfId="7710" xr:uid="{25AF0FC9-A448-486E-933A-AAA83D09AF8F}"/>
    <cellStyle name="Normal 4 5 2 2 4 3" xfId="7711" xr:uid="{95606E65-878F-4F40-BE44-4B8B42E02D19}"/>
    <cellStyle name="Normal 4 5 2 2 4 4" xfId="7712" xr:uid="{7B5AD3E4-2EF1-49E9-8097-1C8A9732F520}"/>
    <cellStyle name="Normal 4 5 2 2 4 5" xfId="7713" xr:uid="{2E744650-3F3C-4200-B58D-AC401428D82D}"/>
    <cellStyle name="Normal 4 5 2 2 5" xfId="7714" xr:uid="{31FAC980-16D5-4C27-B6CE-0048DECE896E}"/>
    <cellStyle name="Normal 4 5 2 2 5 2" xfId="7715" xr:uid="{C3892573-A79B-4399-93A0-65EAEC36A540}"/>
    <cellStyle name="Normal 4 5 2 2 5 2 2" xfId="7716" xr:uid="{DCF45483-02B1-42DA-BCC5-FFC80DFC9E21}"/>
    <cellStyle name="Normal 4 5 2 2 5 2 3" xfId="7717" xr:uid="{663B85BC-0937-454A-A4DB-E53CCBDBE9A9}"/>
    <cellStyle name="Normal 4 5 2 2 5 3" xfId="7718" xr:uid="{D50C510B-D70D-4D31-BDCC-9768059C4DA1}"/>
    <cellStyle name="Normal 4 5 2 2 5 4" xfId="7719" xr:uid="{D6E58A4F-1B69-4BAE-8A76-B73944ED7B45}"/>
    <cellStyle name="Normal 4 5 2 2 5 5" xfId="7720" xr:uid="{C8F9926D-B06D-4BF5-9EC2-FE66D26D6ED3}"/>
    <cellStyle name="Normal 4 5 2 2 6" xfId="7721" xr:uid="{9B32F245-75F5-4F53-8450-1B7F07903639}"/>
    <cellStyle name="Normal 4 5 2 2 6 2" xfId="7722" xr:uid="{EA5A7CB6-B87F-4149-863B-B3D0AA3969DA}"/>
    <cellStyle name="Normal 4 5 2 2 6 3" xfId="7723" xr:uid="{E7CE4DC8-6EEA-4381-9BF2-88E71A2E023F}"/>
    <cellStyle name="Normal 4 5 2 2 7" xfId="7724" xr:uid="{6B9E6FEF-9243-44D3-A65E-B31A9FFF8707}"/>
    <cellStyle name="Normal 4 5 2 2 8" xfId="7725" xr:uid="{5CC7F546-3B64-4C0B-9037-785ABB029D4E}"/>
    <cellStyle name="Normal 4 5 2 2 9" xfId="7726" xr:uid="{27C0B073-190C-44C3-987F-B8F180FF3319}"/>
    <cellStyle name="Normal 4 5 2 3" xfId="7727" xr:uid="{41C8C9EC-BA4E-490C-9D9E-B5DCCEBAA81D}"/>
    <cellStyle name="Normal 4 5 2 3 2" xfId="7728" xr:uid="{E4E99C35-5340-49F2-B281-08693A163C96}"/>
    <cellStyle name="Normal 4 5 2 3 2 2" xfId="7729" xr:uid="{9582B7CB-3AC2-44DD-92B7-D622DB3629C9}"/>
    <cellStyle name="Normal 4 5 2 3 2 2 2" xfId="7730" xr:uid="{32AE314A-F3AD-41B8-AF4A-1376FEB2EBED}"/>
    <cellStyle name="Normal 4 5 2 3 2 2 2 2" xfId="7731" xr:uid="{66997E08-F29C-421B-A282-CAF8A1E7073A}"/>
    <cellStyle name="Normal 4 5 2 3 2 2 2 2 2" xfId="7732" xr:uid="{5D5AEB19-30BC-4160-967E-B5B14F58A0A7}"/>
    <cellStyle name="Normal 4 5 2 3 2 2 2 2 3" xfId="7733" xr:uid="{71143F35-F026-4C6C-94B0-E821EE229B45}"/>
    <cellStyle name="Normal 4 5 2 3 2 2 2 3" xfId="7734" xr:uid="{551034A7-6D61-41A0-8983-B73B3D2449DB}"/>
    <cellStyle name="Normal 4 5 2 3 2 2 2 4" xfId="7735" xr:uid="{9AF8E63B-3348-4DAC-8B04-636990E71A35}"/>
    <cellStyle name="Normal 4 5 2 3 2 2 2 5" xfId="7736" xr:uid="{0224156E-D67B-4CCC-9816-74D4875520BC}"/>
    <cellStyle name="Normal 4 5 2 3 2 2 3" xfId="7737" xr:uid="{54F74086-AC34-49FF-BEC2-F37C7B453376}"/>
    <cellStyle name="Normal 4 5 2 3 2 2 3 2" xfId="7738" xr:uid="{D478757E-577E-493B-9A81-625C0CA7F60F}"/>
    <cellStyle name="Normal 4 5 2 3 2 2 3 2 2" xfId="7739" xr:uid="{40CB0DDA-DE10-4AB7-9F4A-199D12B6F46D}"/>
    <cellStyle name="Normal 4 5 2 3 2 2 3 2 3" xfId="7740" xr:uid="{5C23A2E9-B228-48C9-BE01-9F3903466BE8}"/>
    <cellStyle name="Normal 4 5 2 3 2 2 3 3" xfId="7741" xr:uid="{75F2413C-0C44-4835-8BA1-2E6C820A10FA}"/>
    <cellStyle name="Normal 4 5 2 3 2 2 3 4" xfId="7742" xr:uid="{C3DADDAB-48B9-411B-8FD4-65C5FD67204E}"/>
    <cellStyle name="Normal 4 5 2 3 2 2 3 5" xfId="7743" xr:uid="{79945C56-E423-49FE-8CD6-B690CD4B1681}"/>
    <cellStyle name="Normal 4 5 2 3 2 2 4" xfId="7744" xr:uid="{2AB79901-090A-441F-B0D3-1984C01F15FC}"/>
    <cellStyle name="Normal 4 5 2 3 2 2 4 2" xfId="7745" xr:uid="{F7CEBF98-13C6-4774-8C45-2B3CD211D67F}"/>
    <cellStyle name="Normal 4 5 2 3 2 2 4 3" xfId="7746" xr:uid="{AEE4C2E8-6B4F-43F5-817C-8B6069F45CE4}"/>
    <cellStyle name="Normal 4 5 2 3 2 2 5" xfId="7747" xr:uid="{43079EB5-7A08-4928-9F0E-72569971BFE9}"/>
    <cellStyle name="Normal 4 5 2 3 2 2 6" xfId="7748" xr:uid="{C28A4376-33EB-4981-BF69-03FD3728990A}"/>
    <cellStyle name="Normal 4 5 2 3 2 2 7" xfId="7749" xr:uid="{941AC0B5-0BC2-4166-9A27-D5AA5CBBA0FF}"/>
    <cellStyle name="Normal 4 5 2 3 2 3" xfId="7750" xr:uid="{A8396D08-1652-4047-A76D-1D04DB85AB46}"/>
    <cellStyle name="Normal 4 5 2 3 2 3 2" xfId="7751" xr:uid="{CD6EFE04-B25B-4D20-B17E-2ABA70CF909E}"/>
    <cellStyle name="Normal 4 5 2 3 2 3 2 2" xfId="7752" xr:uid="{E4DC89A2-A48B-4424-ACAB-0249256265AF}"/>
    <cellStyle name="Normal 4 5 2 3 2 3 2 3" xfId="7753" xr:uid="{BE1D7857-3C0E-480A-9422-789B466A263C}"/>
    <cellStyle name="Normal 4 5 2 3 2 3 3" xfId="7754" xr:uid="{10A9176C-5C3F-43D3-A6D7-C4D3311424EA}"/>
    <cellStyle name="Normal 4 5 2 3 2 3 4" xfId="7755" xr:uid="{A9BA0FD8-EF42-4E05-93FB-A1D634D8C611}"/>
    <cellStyle name="Normal 4 5 2 3 2 3 5" xfId="7756" xr:uid="{15370362-697C-4625-8351-548429E41215}"/>
    <cellStyle name="Normal 4 5 2 3 2 4" xfId="7757" xr:uid="{32C1B181-6A60-419E-A193-E97FF09DE7CC}"/>
    <cellStyle name="Normal 4 5 2 3 2 4 2" xfId="7758" xr:uid="{B618A780-8A8C-4665-992B-4B4F664A3501}"/>
    <cellStyle name="Normal 4 5 2 3 2 4 2 2" xfId="7759" xr:uid="{4971BA4F-6EFC-45BE-823C-7064F8E1926E}"/>
    <cellStyle name="Normal 4 5 2 3 2 4 2 3" xfId="7760" xr:uid="{EF33ADDD-9042-47EE-A7AB-B00F2CF25A7E}"/>
    <cellStyle name="Normal 4 5 2 3 2 4 3" xfId="7761" xr:uid="{51F45B57-E08F-4D33-A6C4-43E4F79A656C}"/>
    <cellStyle name="Normal 4 5 2 3 2 4 4" xfId="7762" xr:uid="{4312B914-E397-4C60-8D8F-021159F5BE4B}"/>
    <cellStyle name="Normal 4 5 2 3 2 4 5" xfId="7763" xr:uid="{CF7EEB36-5171-4F62-B81D-3039DD42E444}"/>
    <cellStyle name="Normal 4 5 2 3 2 5" xfId="7764" xr:uid="{E1A3933D-2B25-4A39-8C86-B2CA3AAC5135}"/>
    <cellStyle name="Normal 4 5 2 3 2 5 2" xfId="7765" xr:uid="{49B427D9-2DAD-46AE-A5A2-A5DD804EBE00}"/>
    <cellStyle name="Normal 4 5 2 3 2 5 3" xfId="7766" xr:uid="{5702C4D2-FCB3-4E0E-96CD-1AFCC9018589}"/>
    <cellStyle name="Normal 4 5 2 3 2 6" xfId="7767" xr:uid="{5053D4EA-5947-4BD4-BE89-72D044B6F224}"/>
    <cellStyle name="Normal 4 5 2 3 2 7" xfId="7768" xr:uid="{A4B3B1EB-AA76-426E-A393-7FDB00F42B48}"/>
    <cellStyle name="Normal 4 5 2 3 2 8" xfId="7769" xr:uid="{D333C69C-FC7F-447F-86EB-4EDB1885375D}"/>
    <cellStyle name="Normal 4 5 2 3 3" xfId="7770" xr:uid="{A47CA4C5-5C05-4A5A-B126-02E1C38F1A1E}"/>
    <cellStyle name="Normal 4 5 2 3 3 2" xfId="7771" xr:uid="{AFB34DBE-61EC-47D8-9503-EEB16F03F783}"/>
    <cellStyle name="Normal 4 5 2 3 3 2 2" xfId="7772" xr:uid="{7C84D8D7-1CED-41AC-8747-D2813378F742}"/>
    <cellStyle name="Normal 4 5 2 3 3 2 2 2" xfId="7773" xr:uid="{B4BBBE39-E311-4495-967E-4E780BDBCCEC}"/>
    <cellStyle name="Normal 4 5 2 3 3 2 2 3" xfId="7774" xr:uid="{91570ABC-B584-4368-B8CB-5B1F4604B0FA}"/>
    <cellStyle name="Normal 4 5 2 3 3 2 3" xfId="7775" xr:uid="{746A10D0-2FEE-4093-BEAE-A7954FA2DB5E}"/>
    <cellStyle name="Normal 4 5 2 3 3 2 4" xfId="7776" xr:uid="{498ECBFB-71A8-4520-B8AF-9B1B64C311BF}"/>
    <cellStyle name="Normal 4 5 2 3 3 2 5" xfId="7777" xr:uid="{663FA0A3-63B7-47B5-B5DC-FE8AC31DB319}"/>
    <cellStyle name="Normal 4 5 2 3 3 3" xfId="7778" xr:uid="{3239AFF9-56A3-4CEF-A4A8-5F5BD5F6FBDC}"/>
    <cellStyle name="Normal 4 5 2 3 3 3 2" xfId="7779" xr:uid="{7E695544-5A0C-4807-9508-7BC1A8296407}"/>
    <cellStyle name="Normal 4 5 2 3 3 3 2 2" xfId="7780" xr:uid="{4E0D11DD-436B-4FE3-9BF2-2A0988BBF821}"/>
    <cellStyle name="Normal 4 5 2 3 3 3 2 3" xfId="7781" xr:uid="{08DABF99-4870-480B-97D1-E98C67A1EF47}"/>
    <cellStyle name="Normal 4 5 2 3 3 3 3" xfId="7782" xr:uid="{5258C6EA-B7F5-4788-A7F1-2B618CE25E64}"/>
    <cellStyle name="Normal 4 5 2 3 3 3 4" xfId="7783" xr:uid="{B8FF9E1A-BFBE-416D-A7C9-23A81035B894}"/>
    <cellStyle name="Normal 4 5 2 3 3 3 5" xfId="7784" xr:uid="{0EE2A05F-2B64-4B48-9463-B5C4D5899135}"/>
    <cellStyle name="Normal 4 5 2 3 3 4" xfId="7785" xr:uid="{F81ED5D3-544D-40B3-8E6E-2B74F102C76C}"/>
    <cellStyle name="Normal 4 5 2 3 3 4 2" xfId="7786" xr:uid="{33A72A04-7F5B-4275-9BDE-C2F733363A73}"/>
    <cellStyle name="Normal 4 5 2 3 3 4 3" xfId="7787" xr:uid="{4E2A2A3E-8EA5-4D54-8D55-BEC53F984E82}"/>
    <cellStyle name="Normal 4 5 2 3 3 5" xfId="7788" xr:uid="{10866360-458C-4712-B22A-AC8F998EB7C3}"/>
    <cellStyle name="Normal 4 5 2 3 3 6" xfId="7789" xr:uid="{C6B49688-7C93-489E-9356-68DAC6B4EFB8}"/>
    <cellStyle name="Normal 4 5 2 3 3 7" xfId="7790" xr:uid="{8D7765EF-50CC-40B8-83D8-D67A16F8D470}"/>
    <cellStyle name="Normal 4 5 2 3 4" xfId="7791" xr:uid="{C030F586-83D2-4AA1-8ED7-233EEDD99337}"/>
    <cellStyle name="Normal 4 5 2 3 4 2" xfId="7792" xr:uid="{19A54F16-49D1-4619-9A96-FFC624EA5F0D}"/>
    <cellStyle name="Normal 4 5 2 3 4 2 2" xfId="7793" xr:uid="{F5E7D9E6-6790-49E3-A9FB-4DFD8E1D29A7}"/>
    <cellStyle name="Normal 4 5 2 3 4 2 3" xfId="7794" xr:uid="{A55428F4-E379-4579-AF61-B1FFBDBD6BA0}"/>
    <cellStyle name="Normal 4 5 2 3 4 3" xfId="7795" xr:uid="{99144F60-84D3-4628-964C-C4D8623195C1}"/>
    <cellStyle name="Normal 4 5 2 3 4 4" xfId="7796" xr:uid="{D65D64D0-4A6E-4776-B7D4-353167C91787}"/>
    <cellStyle name="Normal 4 5 2 3 4 5" xfId="7797" xr:uid="{8C608D19-578A-403D-A3CF-393E75BF35AF}"/>
    <cellStyle name="Normal 4 5 2 3 5" xfId="7798" xr:uid="{924B92F2-12F3-411F-9ED0-86820872B095}"/>
    <cellStyle name="Normal 4 5 2 3 5 2" xfId="7799" xr:uid="{5BF3FB8E-46B8-4312-998E-7044D394A1D7}"/>
    <cellStyle name="Normal 4 5 2 3 5 2 2" xfId="7800" xr:uid="{9472A4A7-6E9C-4285-AFD6-5E37FEFC69A1}"/>
    <cellStyle name="Normal 4 5 2 3 5 2 3" xfId="7801" xr:uid="{585F4919-B396-4C90-BE14-5CD6E9AF54A8}"/>
    <cellStyle name="Normal 4 5 2 3 5 3" xfId="7802" xr:uid="{2658F46E-BFE9-4DF9-A56B-EFA26EC47DE2}"/>
    <cellStyle name="Normal 4 5 2 3 5 4" xfId="7803" xr:uid="{52A244F4-42C4-45EA-B9D9-02D2044ECF83}"/>
    <cellStyle name="Normal 4 5 2 3 5 5" xfId="7804" xr:uid="{F673DC63-5A4B-48E4-A37E-1424C1E9508D}"/>
    <cellStyle name="Normal 4 5 2 3 6" xfId="7805" xr:uid="{48DF4CB2-A54B-403D-A20B-A0383898EEAD}"/>
    <cellStyle name="Normal 4 5 2 3 6 2" xfId="7806" xr:uid="{AE654F6E-37D9-44B1-A028-A14C3577FA65}"/>
    <cellStyle name="Normal 4 5 2 3 6 3" xfId="7807" xr:uid="{87F20090-B358-481E-A609-8F9D89F9A124}"/>
    <cellStyle name="Normal 4 5 2 3 7" xfId="7808" xr:uid="{47A302F3-C23C-4122-A354-1DC5F918738D}"/>
    <cellStyle name="Normal 4 5 2 3 8" xfId="7809" xr:uid="{BF057CA1-27D6-4CC3-9435-3861515D6AC8}"/>
    <cellStyle name="Normal 4 5 2 3 9" xfId="7810" xr:uid="{985538F3-CF29-46DA-9459-E968FAD7A7F0}"/>
    <cellStyle name="Normal 4 5 2 4" xfId="7811" xr:uid="{20A69160-CF6B-4BA6-96C2-F724EA36B60E}"/>
    <cellStyle name="Normal 4 5 2 4 2" xfId="7812" xr:uid="{8531C514-DB88-4C10-AA60-256CD0F02191}"/>
    <cellStyle name="Normal 4 5 2 4 2 2" xfId="7813" xr:uid="{BCBF7FDB-5C4A-4C59-B305-6FAFA16C3FAD}"/>
    <cellStyle name="Normal 4 5 2 4 2 2 2" xfId="7814" xr:uid="{9125AF8E-3F20-4DDC-8FD0-C7BD4A2FEE84}"/>
    <cellStyle name="Normal 4 5 2 4 2 2 2 2" xfId="7815" xr:uid="{CF70B89D-1D35-42CC-85B0-87AE865A6124}"/>
    <cellStyle name="Normal 4 5 2 4 2 2 2 2 2" xfId="7816" xr:uid="{1DDCCB20-F203-4965-9119-F3E3679918F7}"/>
    <cellStyle name="Normal 4 5 2 4 2 2 2 2 3" xfId="7817" xr:uid="{A0AE2333-D265-46EB-9E3C-097F8E23093D}"/>
    <cellStyle name="Normal 4 5 2 4 2 2 2 3" xfId="7818" xr:uid="{6ECDA1BF-1654-40C4-B418-0BB8A1862FAC}"/>
    <cellStyle name="Normal 4 5 2 4 2 2 2 4" xfId="7819" xr:uid="{F2BD0F70-0E84-4733-B7B2-C27D909B7528}"/>
    <cellStyle name="Normal 4 5 2 4 2 2 2 5" xfId="7820" xr:uid="{85C1A884-01CA-4975-A70D-BC3F06B1C73F}"/>
    <cellStyle name="Normal 4 5 2 4 2 2 3" xfId="7821" xr:uid="{7A1DA429-8F72-456D-BAC5-F673B02445BE}"/>
    <cellStyle name="Normal 4 5 2 4 2 2 3 2" xfId="7822" xr:uid="{EDE1C9D5-EDA2-4A34-A2BF-5AF1F899C8FF}"/>
    <cellStyle name="Normal 4 5 2 4 2 2 3 2 2" xfId="7823" xr:uid="{68DF4537-2EAA-4C96-A458-720A63B662BA}"/>
    <cellStyle name="Normal 4 5 2 4 2 2 3 2 3" xfId="7824" xr:uid="{5F9929D2-83B7-490B-8DC3-C9E6BEC6CB98}"/>
    <cellStyle name="Normal 4 5 2 4 2 2 3 3" xfId="7825" xr:uid="{962B9594-212F-4D63-88D9-9A47E2F1205A}"/>
    <cellStyle name="Normal 4 5 2 4 2 2 3 4" xfId="7826" xr:uid="{BE55CEFC-C059-4D85-BBCB-2459B29B8911}"/>
    <cellStyle name="Normal 4 5 2 4 2 2 3 5" xfId="7827" xr:uid="{6A37FF3E-0529-4ED3-8C27-5A852FEAEA22}"/>
    <cellStyle name="Normal 4 5 2 4 2 2 4" xfId="7828" xr:uid="{859320E0-91C6-4B0F-AA64-C445EBA4F603}"/>
    <cellStyle name="Normal 4 5 2 4 2 2 4 2" xfId="7829" xr:uid="{D1123871-84A2-4D14-A29F-44DF53C64BF4}"/>
    <cellStyle name="Normal 4 5 2 4 2 2 4 3" xfId="7830" xr:uid="{7D45893A-8A96-4B6B-A719-A4E95EE764C8}"/>
    <cellStyle name="Normal 4 5 2 4 2 2 5" xfId="7831" xr:uid="{A64F138C-1A1F-4A0D-9EBF-238A3C06C782}"/>
    <cellStyle name="Normal 4 5 2 4 2 2 6" xfId="7832" xr:uid="{B87F1C8E-1F21-475B-8569-5A235F827264}"/>
    <cellStyle name="Normal 4 5 2 4 2 2 7" xfId="7833" xr:uid="{2BDACE59-9992-45C4-B559-CEAC14BD0802}"/>
    <cellStyle name="Normal 4 5 2 4 2 3" xfId="7834" xr:uid="{18B40402-FDEA-4713-BE86-8DC32B1043A2}"/>
    <cellStyle name="Normal 4 5 2 4 2 3 2" xfId="7835" xr:uid="{6AE4467C-240D-42B3-8BC8-4D4F882547D2}"/>
    <cellStyle name="Normal 4 5 2 4 2 3 2 2" xfId="7836" xr:uid="{11AAB3AE-BF43-46D9-9E2C-1F59EA95C820}"/>
    <cellStyle name="Normal 4 5 2 4 2 3 2 3" xfId="7837" xr:uid="{8EEE0A57-12AA-4B9B-9C1C-DB560991524E}"/>
    <cellStyle name="Normal 4 5 2 4 2 3 3" xfId="7838" xr:uid="{087EE188-1254-4268-AA9A-21A021A9F03B}"/>
    <cellStyle name="Normal 4 5 2 4 2 3 4" xfId="7839" xr:uid="{BBF834B1-76F6-45AB-AD66-F6B1997F36BF}"/>
    <cellStyle name="Normal 4 5 2 4 2 3 5" xfId="7840" xr:uid="{460D3BAE-569E-41C0-9471-3FD51765CFD5}"/>
    <cellStyle name="Normal 4 5 2 4 2 4" xfId="7841" xr:uid="{518A79DC-1056-4318-879D-160971B669A8}"/>
    <cellStyle name="Normal 4 5 2 4 2 4 2" xfId="7842" xr:uid="{C4DCA7EB-EE71-4548-98C7-5F9E3D949E1B}"/>
    <cellStyle name="Normal 4 5 2 4 2 4 2 2" xfId="7843" xr:uid="{94DCEE8E-93D0-4D36-B26B-D70AA3947F83}"/>
    <cellStyle name="Normal 4 5 2 4 2 4 2 3" xfId="7844" xr:uid="{291B04AE-36A3-438C-AC12-8AA00F8ED8D6}"/>
    <cellStyle name="Normal 4 5 2 4 2 4 3" xfId="7845" xr:uid="{4DFB34DA-E2D8-48FA-A161-4EB8E28FCD86}"/>
    <cellStyle name="Normal 4 5 2 4 2 4 4" xfId="7846" xr:uid="{AD9E44AE-783D-417D-9318-0BBC8817AD89}"/>
    <cellStyle name="Normal 4 5 2 4 2 4 5" xfId="7847" xr:uid="{15932E84-0E61-4DBC-B9B8-B4B3933284D9}"/>
    <cellStyle name="Normal 4 5 2 4 2 5" xfId="7848" xr:uid="{C8C5B87E-2CA7-41FE-9008-8B2C2B1560A8}"/>
    <cellStyle name="Normal 4 5 2 4 2 5 2" xfId="7849" xr:uid="{482E9269-5B0F-41FF-98C3-B01AA5EC9C0A}"/>
    <cellStyle name="Normal 4 5 2 4 2 5 3" xfId="7850" xr:uid="{4BA901F9-8436-4AC0-84BB-84192EB87CF9}"/>
    <cellStyle name="Normal 4 5 2 4 2 6" xfId="7851" xr:uid="{9CA90C8F-BD5C-473E-8EF8-E64736E17BA0}"/>
    <cellStyle name="Normal 4 5 2 4 2 7" xfId="7852" xr:uid="{9BB620DB-C77F-4143-BC30-4A71FA29DB85}"/>
    <cellStyle name="Normal 4 5 2 4 2 8" xfId="7853" xr:uid="{238E06C4-D106-4FB0-BC17-77940B2EED75}"/>
    <cellStyle name="Normal 4 5 2 4 3" xfId="7854" xr:uid="{38724858-B13B-4FBD-93DB-EDF0A48FEC2D}"/>
    <cellStyle name="Normal 4 5 2 4 3 2" xfId="7855" xr:uid="{F5A7EB66-1944-4CEA-AF7B-2E8CCC7464F1}"/>
    <cellStyle name="Normal 4 5 2 4 3 2 2" xfId="7856" xr:uid="{782CEB84-6A53-4A55-B81E-E1EE6547DEDA}"/>
    <cellStyle name="Normal 4 5 2 4 3 2 2 2" xfId="7857" xr:uid="{5BAB24D9-0AB8-4DF5-9A6C-77F61CEA2111}"/>
    <cellStyle name="Normal 4 5 2 4 3 2 2 3" xfId="7858" xr:uid="{DF816FF9-95C7-4B0A-811A-17B74511A663}"/>
    <cellStyle name="Normal 4 5 2 4 3 2 3" xfId="7859" xr:uid="{B90A9F53-2C74-42C0-A966-4F11430328E2}"/>
    <cellStyle name="Normal 4 5 2 4 3 2 4" xfId="7860" xr:uid="{E8D54274-ED9A-428A-AAC5-501B5037167F}"/>
    <cellStyle name="Normal 4 5 2 4 3 2 5" xfId="7861" xr:uid="{E1DEEEC8-87D7-4516-B94A-2B8D71BA8B98}"/>
    <cellStyle name="Normal 4 5 2 4 3 3" xfId="7862" xr:uid="{43FBF49B-34E2-482E-BA31-0F94865A45AC}"/>
    <cellStyle name="Normal 4 5 2 4 3 3 2" xfId="7863" xr:uid="{D4E65E9B-E84B-4529-97D3-7F70AD476026}"/>
    <cellStyle name="Normal 4 5 2 4 3 3 2 2" xfId="7864" xr:uid="{AF155B79-F863-4FE5-AC0F-539E049A627A}"/>
    <cellStyle name="Normal 4 5 2 4 3 3 2 3" xfId="7865" xr:uid="{F901DBA3-D61F-40BD-BD59-4875A9C5E92E}"/>
    <cellStyle name="Normal 4 5 2 4 3 3 3" xfId="7866" xr:uid="{B3A39558-B0CC-4F59-9384-04E90ED20436}"/>
    <cellStyle name="Normal 4 5 2 4 3 3 4" xfId="7867" xr:uid="{4D9F2BF8-3F84-4A91-94D3-BFB0CAEBF19F}"/>
    <cellStyle name="Normal 4 5 2 4 3 3 5" xfId="7868" xr:uid="{9FD29C8C-2C95-4E2E-891A-3D1696236653}"/>
    <cellStyle name="Normal 4 5 2 4 3 4" xfId="7869" xr:uid="{D5C23999-C047-4023-B5B2-818F22DF14A5}"/>
    <cellStyle name="Normal 4 5 2 4 3 4 2" xfId="7870" xr:uid="{F7528BA4-165D-4710-B568-41705CBB4C27}"/>
    <cellStyle name="Normal 4 5 2 4 3 4 3" xfId="7871" xr:uid="{4BE5D387-9220-41D8-8686-C445DEC2B215}"/>
    <cellStyle name="Normal 4 5 2 4 3 5" xfId="7872" xr:uid="{DCE5F153-FEE6-40F7-A344-6C42D94E07D9}"/>
    <cellStyle name="Normal 4 5 2 4 3 6" xfId="7873" xr:uid="{F87A2ABF-AF6A-4442-94AC-AEE7E7822CC9}"/>
    <cellStyle name="Normal 4 5 2 4 3 7" xfId="7874" xr:uid="{A3DEF8B9-4FEA-4DB2-818A-65E726AB4096}"/>
    <cellStyle name="Normal 4 5 2 4 4" xfId="7875" xr:uid="{4DA2CC4D-6DDB-4CBB-949F-D191B7C7838F}"/>
    <cellStyle name="Normal 4 5 2 4 4 2" xfId="7876" xr:uid="{BFE00EFD-DC55-438E-B4B4-75177C6E9C1C}"/>
    <cellStyle name="Normal 4 5 2 4 4 2 2" xfId="7877" xr:uid="{39EC2895-6416-4A71-A805-B70EE841E224}"/>
    <cellStyle name="Normal 4 5 2 4 4 2 3" xfId="7878" xr:uid="{0C7346C4-86BF-4ED8-9E0B-7AC488E3BB81}"/>
    <cellStyle name="Normal 4 5 2 4 4 3" xfId="7879" xr:uid="{EF8B1256-167D-4324-8416-64408C44D781}"/>
    <cellStyle name="Normal 4 5 2 4 4 4" xfId="7880" xr:uid="{20812423-B8B9-4B3C-B0FC-0D5D6845BF4A}"/>
    <cellStyle name="Normal 4 5 2 4 4 5" xfId="7881" xr:uid="{19F40F2A-E4FD-44BD-B496-FFE2323884AB}"/>
    <cellStyle name="Normal 4 5 2 4 5" xfId="7882" xr:uid="{7D7569B8-9B77-4A1C-BC03-DA028EDAC7CB}"/>
    <cellStyle name="Normal 4 5 2 4 5 2" xfId="7883" xr:uid="{ABF15E69-5C3D-4F6C-8C57-969A67189174}"/>
    <cellStyle name="Normal 4 5 2 4 5 2 2" xfId="7884" xr:uid="{BC0654D2-6CB5-4F9E-A611-6790C6EADA54}"/>
    <cellStyle name="Normal 4 5 2 4 5 2 3" xfId="7885" xr:uid="{2F16E3B7-1CB8-4256-94A2-98D6DFCBEE50}"/>
    <cellStyle name="Normal 4 5 2 4 5 3" xfId="7886" xr:uid="{DA6BFCA6-FD45-4944-8F9A-602A96438575}"/>
    <cellStyle name="Normal 4 5 2 4 5 4" xfId="7887" xr:uid="{45D98285-9FBC-4A48-BA0B-572C574CCAA6}"/>
    <cellStyle name="Normal 4 5 2 4 5 5" xfId="7888" xr:uid="{6D3A6778-2843-4D44-929E-8D6F8F66FB21}"/>
    <cellStyle name="Normal 4 5 2 4 6" xfId="7889" xr:uid="{1A1E3457-897C-433A-8F39-3AC9DA9F93A3}"/>
    <cellStyle name="Normal 4 5 2 4 6 2" xfId="7890" xr:uid="{06FCA6E2-B87C-414C-A8AA-B9C4A1FC2E4F}"/>
    <cellStyle name="Normal 4 5 2 4 6 3" xfId="7891" xr:uid="{C87EDC98-3E3D-4A00-BBAC-F6D8FC854E58}"/>
    <cellStyle name="Normal 4 5 2 4 7" xfId="7892" xr:uid="{5F478276-D37B-4B46-A17A-DEFA06E12C9D}"/>
    <cellStyle name="Normal 4 5 2 4 8" xfId="7893" xr:uid="{65056324-C88C-4097-9A8F-A31C2E2F8078}"/>
    <cellStyle name="Normal 4 5 2 4 9" xfId="7894" xr:uid="{CBFAF029-DC32-4288-9F04-03252648F49E}"/>
    <cellStyle name="Normal 4 5 2 5" xfId="7895" xr:uid="{DF00708F-4BF7-4DD7-8D02-240FB15FEA92}"/>
    <cellStyle name="Normal 4 5 2 5 2" xfId="7896" xr:uid="{A74ABEC0-1259-4B7F-9EBD-5D6F8ADB8F87}"/>
    <cellStyle name="Normal 4 5 2 5 2 2" xfId="7897" xr:uid="{6C173D74-5ABA-442F-AE71-8B687D9ACDB4}"/>
    <cellStyle name="Normal 4 5 2 5 2 2 2" xfId="7898" xr:uid="{1431D24C-FCEF-4CB9-B2A3-1F8E3CDAE8AE}"/>
    <cellStyle name="Normal 4 5 2 5 2 2 2 2" xfId="7899" xr:uid="{3B946402-6AD5-4CE3-BFDF-AD1298F0EDD4}"/>
    <cellStyle name="Normal 4 5 2 5 2 2 2 3" xfId="7900" xr:uid="{0A1ABB27-B045-416E-AE02-907B9D6B4CDC}"/>
    <cellStyle name="Normal 4 5 2 5 2 2 3" xfId="7901" xr:uid="{E44E404D-3BFC-4010-BDE8-EFA3955D62FD}"/>
    <cellStyle name="Normal 4 5 2 5 2 2 4" xfId="7902" xr:uid="{FFDDB448-A249-44CE-B4EC-14094310C746}"/>
    <cellStyle name="Normal 4 5 2 5 2 2 5" xfId="7903" xr:uid="{B20639C0-970A-4262-B94E-0542EC08B9FD}"/>
    <cellStyle name="Normal 4 5 2 5 2 3" xfId="7904" xr:uid="{7BE66CEC-C9B9-4B21-BAEB-B8662C07818D}"/>
    <cellStyle name="Normal 4 5 2 5 2 3 2" xfId="7905" xr:uid="{24F6F9D9-5199-4B55-9FE8-7AB25C9BCA80}"/>
    <cellStyle name="Normal 4 5 2 5 2 3 2 2" xfId="7906" xr:uid="{217B8FEC-48FB-4B59-ACE3-B8A93B9BC19E}"/>
    <cellStyle name="Normal 4 5 2 5 2 3 2 3" xfId="7907" xr:uid="{FC40E8DE-60C3-4DB7-A3F7-AF53B408D9F9}"/>
    <cellStyle name="Normal 4 5 2 5 2 3 3" xfId="7908" xr:uid="{705454CF-CD7B-4D83-9036-90E0EEE66031}"/>
    <cellStyle name="Normal 4 5 2 5 2 3 4" xfId="7909" xr:uid="{307C3491-D335-4561-8F60-FB18FADD232A}"/>
    <cellStyle name="Normal 4 5 2 5 2 3 5" xfId="7910" xr:uid="{7F645388-FB46-433F-8EE2-B3834D2E940A}"/>
    <cellStyle name="Normal 4 5 2 5 2 4" xfId="7911" xr:uid="{31687523-4564-4CE0-936E-3590E3A07562}"/>
    <cellStyle name="Normal 4 5 2 5 2 4 2" xfId="7912" xr:uid="{EE2A4848-A587-4029-A3C6-25975923CB4D}"/>
    <cellStyle name="Normal 4 5 2 5 2 4 3" xfId="7913" xr:uid="{79261A2C-88A3-438C-BE62-20B377A2F55F}"/>
    <cellStyle name="Normal 4 5 2 5 2 5" xfId="7914" xr:uid="{46CEF81D-D95D-45EE-B603-837944A7AACA}"/>
    <cellStyle name="Normal 4 5 2 5 2 6" xfId="7915" xr:uid="{94126B77-4488-4F5D-9775-B3E3161159C5}"/>
    <cellStyle name="Normal 4 5 2 5 2 7" xfId="7916" xr:uid="{739763E0-BC06-4A05-973D-352AD83816E8}"/>
    <cellStyle name="Normal 4 5 2 5 3" xfId="7917" xr:uid="{1F9201A4-F23F-4945-8D83-81B8D6E612FB}"/>
    <cellStyle name="Normal 4 5 2 5 3 2" xfId="7918" xr:uid="{C4840144-C76D-4DD4-8F5F-3318CEA4C87C}"/>
    <cellStyle name="Normal 4 5 2 5 3 2 2" xfId="7919" xr:uid="{4A7006FB-D7B5-4844-A051-B59F7C340730}"/>
    <cellStyle name="Normal 4 5 2 5 3 2 3" xfId="7920" xr:uid="{150BDEA2-91EF-4F00-984C-DCEAD605410F}"/>
    <cellStyle name="Normal 4 5 2 5 3 3" xfId="7921" xr:uid="{0C3A5D46-B08A-4C8C-BEF2-2745ED8FDBF1}"/>
    <cellStyle name="Normal 4 5 2 5 3 4" xfId="7922" xr:uid="{40C0CBB4-4979-4ED6-8611-ED779E9A9168}"/>
    <cellStyle name="Normal 4 5 2 5 3 5" xfId="7923" xr:uid="{77FCA9CD-BDC1-43E0-B415-81244C5D23BC}"/>
    <cellStyle name="Normal 4 5 2 5 4" xfId="7924" xr:uid="{AD54F72A-CF71-44A5-8350-7D984990E583}"/>
    <cellStyle name="Normal 4 5 2 5 4 2" xfId="7925" xr:uid="{14575D83-121A-4FC2-A593-CCB783A7837B}"/>
    <cellStyle name="Normal 4 5 2 5 4 2 2" xfId="7926" xr:uid="{D5729176-6267-4A4E-B7F7-129333BCDEA0}"/>
    <cellStyle name="Normal 4 5 2 5 4 2 3" xfId="7927" xr:uid="{C46CD286-54C1-4A26-A4D1-4A85CF36CB23}"/>
    <cellStyle name="Normal 4 5 2 5 4 3" xfId="7928" xr:uid="{FD12C7B0-8F75-4520-8FE0-8EDEC2794E67}"/>
    <cellStyle name="Normal 4 5 2 5 4 4" xfId="7929" xr:uid="{50EAE7BF-BBBC-448D-9962-027614E57780}"/>
    <cellStyle name="Normal 4 5 2 5 4 5" xfId="7930" xr:uid="{B3FE3BA4-B685-4E44-A680-3B6754D3856E}"/>
    <cellStyle name="Normal 4 5 2 5 5" xfId="7931" xr:uid="{C472F98A-84BF-45B0-8DE7-ACDB0D6BE334}"/>
    <cellStyle name="Normal 4 5 2 5 5 2" xfId="7932" xr:uid="{DCFEBD85-7472-47EA-82A3-4E3A5276E7CB}"/>
    <cellStyle name="Normal 4 5 2 5 5 3" xfId="7933" xr:uid="{08750C81-E607-413B-92A7-7E68A6177C6C}"/>
    <cellStyle name="Normal 4 5 2 5 6" xfId="7934" xr:uid="{85484570-AF47-459F-99E4-96F758654EC1}"/>
    <cellStyle name="Normal 4 5 2 5 7" xfId="7935" xr:uid="{CB478E41-B320-4DAD-B732-B7F7ACE3B0CF}"/>
    <cellStyle name="Normal 4 5 2 5 8" xfId="7936" xr:uid="{F18614D8-24DB-4DB2-BF1E-B3DD182906DC}"/>
    <cellStyle name="Normal 4 5 2 6" xfId="7937" xr:uid="{8A558921-04DE-4533-8EA3-9E213283DF2E}"/>
    <cellStyle name="Normal 4 5 2 6 2" xfId="7938" xr:uid="{1B523CDF-AED8-46B3-A71E-A47E52D68F7C}"/>
    <cellStyle name="Normal 4 5 2 6 2 2" xfId="7939" xr:uid="{34A90164-8096-446A-B4A6-367EC630324E}"/>
    <cellStyle name="Normal 4 5 2 6 2 2 2" xfId="7940" xr:uid="{C8E7F8F6-EB98-48FF-B50A-F701FD34E14A}"/>
    <cellStyle name="Normal 4 5 2 6 2 2 3" xfId="7941" xr:uid="{784DEB9C-9211-4F16-BC01-8185DA4EE831}"/>
    <cellStyle name="Normal 4 5 2 6 2 3" xfId="7942" xr:uid="{EDCD3584-F1DE-4484-BA1E-65E452309520}"/>
    <cellStyle name="Normal 4 5 2 6 2 4" xfId="7943" xr:uid="{41782661-68DF-4958-885C-7D64B4903292}"/>
    <cellStyle name="Normal 4 5 2 6 2 5" xfId="7944" xr:uid="{C42A102B-3DF9-473F-947A-C7442B66ABAE}"/>
    <cellStyle name="Normal 4 5 2 6 3" xfId="7945" xr:uid="{E32ABE9E-C8BC-4E4D-8B12-F5D7BA5E3CBB}"/>
    <cellStyle name="Normal 4 5 2 6 3 2" xfId="7946" xr:uid="{DC527647-D453-4700-BB62-B1A36C0AD4BB}"/>
    <cellStyle name="Normal 4 5 2 6 3 2 2" xfId="7947" xr:uid="{E1DAB064-BE2A-46D0-A80D-42CFB9F7EB4E}"/>
    <cellStyle name="Normal 4 5 2 6 3 2 3" xfId="7948" xr:uid="{B39B00AD-B8EC-4E4A-AEC1-CBC1768E58CF}"/>
    <cellStyle name="Normal 4 5 2 6 3 3" xfId="7949" xr:uid="{9F2B9C35-D0C2-442A-9FAB-849DF57D3AFD}"/>
    <cellStyle name="Normal 4 5 2 6 3 4" xfId="7950" xr:uid="{9FCEDCBD-33CF-4265-BD27-BEA96AD84ABA}"/>
    <cellStyle name="Normal 4 5 2 6 3 5" xfId="7951" xr:uid="{F02B997A-25C7-4613-8F17-4BBEE8554FAB}"/>
    <cellStyle name="Normal 4 5 2 6 4" xfId="7952" xr:uid="{C25FDF2C-F272-41EA-BC42-81BF741461BC}"/>
    <cellStyle name="Normal 4 5 2 6 4 2" xfId="7953" xr:uid="{1002FAFF-720A-4F75-AEA6-D756D0D4209F}"/>
    <cellStyle name="Normal 4 5 2 6 4 3" xfId="7954" xr:uid="{8D355D7F-4F76-4D4C-9E5A-370D2ECECF55}"/>
    <cellStyle name="Normal 4 5 2 6 5" xfId="7955" xr:uid="{B605ECAA-6F2C-4079-9D61-82C53B45F742}"/>
    <cellStyle name="Normal 4 5 2 6 6" xfId="7956" xr:uid="{AC60BEF0-7615-4E3F-92B4-6F58568DF3D5}"/>
    <cellStyle name="Normal 4 5 2 6 7" xfId="7957" xr:uid="{B54FF7C8-A39C-4C7F-9202-84C446572749}"/>
    <cellStyle name="Normal 4 5 2 7" xfId="7958" xr:uid="{ABC407FB-1282-449F-A77C-1A51BE4D69D2}"/>
    <cellStyle name="Normal 4 5 2 7 2" xfId="7959" xr:uid="{0101DAEA-D5B6-45A2-B37E-D69B99F08661}"/>
    <cellStyle name="Normal 4 5 2 7 2 2" xfId="7960" xr:uid="{2A165F1E-F1C2-47E7-85DA-D723BA41334A}"/>
    <cellStyle name="Normal 4 5 2 7 2 3" xfId="7961" xr:uid="{03F12902-CB9E-4111-B23F-C5AA1C996F19}"/>
    <cellStyle name="Normal 4 5 2 7 3" xfId="7962" xr:uid="{DD302315-BC8F-4387-8AF5-62E7944AEF29}"/>
    <cellStyle name="Normal 4 5 2 7 4" xfId="7963" xr:uid="{B095CB18-351F-47D9-AA5B-0AC2F132D307}"/>
    <cellStyle name="Normal 4 5 2 7 5" xfId="7964" xr:uid="{22832994-A9A0-4855-8389-BF9703C80FBE}"/>
    <cellStyle name="Normal 4 5 2 8" xfId="7965" xr:uid="{C2C51708-7265-46D8-BF1C-4DC91D9F665D}"/>
    <cellStyle name="Normal 4 5 2 8 2" xfId="7966" xr:uid="{DC8F9D15-5C2B-4D04-9F6D-6355D2A37B58}"/>
    <cellStyle name="Normal 4 5 2 8 2 2" xfId="7967" xr:uid="{57036E40-241B-46D6-BBF8-D9F9F4C09001}"/>
    <cellStyle name="Normal 4 5 2 8 2 3" xfId="7968" xr:uid="{3F9FD1DF-F6FC-43A2-86A8-C0278268DB5D}"/>
    <cellStyle name="Normal 4 5 2 8 3" xfId="7969" xr:uid="{C3E83640-BFCA-4DAA-9CDD-A983F791B26A}"/>
    <cellStyle name="Normal 4 5 2 8 4" xfId="7970" xr:uid="{51885B82-D471-4194-AD9D-7E5F4F6E24BC}"/>
    <cellStyle name="Normal 4 5 2 8 5" xfId="7971" xr:uid="{388D9D04-DD55-4281-87EB-0C05C7056B45}"/>
    <cellStyle name="Normal 4 5 2 9" xfId="7972" xr:uid="{594EE75C-54E4-4D78-B3CC-6FD79A62293F}"/>
    <cellStyle name="Normal 4 5 2 9 2" xfId="7973" xr:uid="{049EB4C0-6506-481A-BCFE-2AB770133ED6}"/>
    <cellStyle name="Normal 4 5 2 9 3" xfId="7974" xr:uid="{79B197C4-3F3D-48E5-99B0-0867F227BDA9}"/>
    <cellStyle name="Normal 4 5 3" xfId="7975" xr:uid="{BBABCC66-B011-4552-A7E2-00272EF79DEA}"/>
    <cellStyle name="Normal 4 5 3 2" xfId="7976" xr:uid="{9380DBB6-F2C9-453F-ADD4-344182C8444D}"/>
    <cellStyle name="Normal 4 5 3 2 2" xfId="7977" xr:uid="{0E1C8085-7913-49C6-AB98-9754AD034301}"/>
    <cellStyle name="Normal 4 5 3 2 2 2" xfId="7978" xr:uid="{6592FC96-13BF-4D09-8462-BD6C96C98F47}"/>
    <cellStyle name="Normal 4 5 3 2 2 2 2" xfId="7979" xr:uid="{4CB8BCD0-B93F-4634-BBAE-576B7563D3F9}"/>
    <cellStyle name="Normal 4 5 3 2 2 2 2 2" xfId="7980" xr:uid="{E684128A-0FD7-4A00-9AAF-3E2272949DE6}"/>
    <cellStyle name="Normal 4 5 3 2 2 2 2 3" xfId="7981" xr:uid="{9A12B6C4-4EED-431A-954C-4C2176DB1770}"/>
    <cellStyle name="Normal 4 5 3 2 2 2 3" xfId="7982" xr:uid="{F2ECE7BE-F31F-4DE6-A87F-12DAC4611969}"/>
    <cellStyle name="Normal 4 5 3 2 2 2 4" xfId="7983" xr:uid="{553DC7FE-EFE0-4BB8-88BA-39F1EF76FEB9}"/>
    <cellStyle name="Normal 4 5 3 2 2 2 5" xfId="7984" xr:uid="{90249AD5-59C9-4D9F-AFB8-80813CCB2886}"/>
    <cellStyle name="Normal 4 5 3 2 2 3" xfId="7985" xr:uid="{7ADBC405-551F-4CDC-A102-CE5BD65FC274}"/>
    <cellStyle name="Normal 4 5 3 2 2 3 2" xfId="7986" xr:uid="{4675CDE2-96A0-41C9-A2A0-55385118928C}"/>
    <cellStyle name="Normal 4 5 3 2 2 3 2 2" xfId="7987" xr:uid="{9284BDA9-AA4F-48A9-85A6-20FC388141FC}"/>
    <cellStyle name="Normal 4 5 3 2 2 3 2 3" xfId="7988" xr:uid="{0247A9C1-9B85-480E-8B84-D87FE49B9A7A}"/>
    <cellStyle name="Normal 4 5 3 2 2 3 3" xfId="7989" xr:uid="{59978A81-D16D-4534-8EF0-994E22BF1573}"/>
    <cellStyle name="Normal 4 5 3 2 2 3 4" xfId="7990" xr:uid="{FF92331F-76B0-48D6-95E6-FA55C5D9F535}"/>
    <cellStyle name="Normal 4 5 3 2 2 3 5" xfId="7991" xr:uid="{22D0A840-5194-419D-8873-47BF7E89EC8F}"/>
    <cellStyle name="Normal 4 5 3 2 2 4" xfId="7992" xr:uid="{86577D7F-BA0E-41F7-B573-D9E71FD0B724}"/>
    <cellStyle name="Normal 4 5 3 2 2 4 2" xfId="7993" xr:uid="{6430FD82-8804-40BD-AB99-995A9B2452AC}"/>
    <cellStyle name="Normal 4 5 3 2 2 4 3" xfId="7994" xr:uid="{47FE7E55-52A6-4096-A188-EC6EEAC4EBE8}"/>
    <cellStyle name="Normal 4 5 3 2 2 5" xfId="7995" xr:uid="{F71021CD-3807-44DE-9E81-F932F39A5632}"/>
    <cellStyle name="Normal 4 5 3 2 2 6" xfId="7996" xr:uid="{42B68536-C995-4441-9ED6-13F662543276}"/>
    <cellStyle name="Normal 4 5 3 2 2 7" xfId="7997" xr:uid="{4304874B-1247-4A9D-8433-353D48709453}"/>
    <cellStyle name="Normal 4 5 3 2 3" xfId="7998" xr:uid="{36857F9D-BE2E-475A-B596-D8B0757C264E}"/>
    <cellStyle name="Normal 4 5 3 2 3 2" xfId="7999" xr:uid="{CD889C89-F9E3-44A6-AC96-C2877860E5F1}"/>
    <cellStyle name="Normal 4 5 3 2 3 2 2" xfId="8000" xr:uid="{99157159-B718-4658-945E-49304B95096B}"/>
    <cellStyle name="Normal 4 5 3 2 3 2 3" xfId="8001" xr:uid="{254AB7AB-E60C-4E38-B488-DA8B0CA307ED}"/>
    <cellStyle name="Normal 4 5 3 2 3 3" xfId="8002" xr:uid="{8034139F-B300-4D7F-B515-0F4631339A9F}"/>
    <cellStyle name="Normal 4 5 3 2 3 4" xfId="8003" xr:uid="{961E1B7C-1B84-4B40-BEDC-1FD75561D4C0}"/>
    <cellStyle name="Normal 4 5 3 2 3 5" xfId="8004" xr:uid="{D5953E1C-9DDD-4B6B-ABBC-F117FC616B33}"/>
    <cellStyle name="Normal 4 5 3 2 4" xfId="8005" xr:uid="{402D5911-3299-4F25-8070-D698943BC1C0}"/>
    <cellStyle name="Normal 4 5 3 2 4 2" xfId="8006" xr:uid="{0695186A-2C16-4C45-BFAD-B4055604AC2B}"/>
    <cellStyle name="Normal 4 5 3 2 4 2 2" xfId="8007" xr:uid="{8C2BDF02-8FE0-4BCC-85FE-E7920F29F63E}"/>
    <cellStyle name="Normal 4 5 3 2 4 2 3" xfId="8008" xr:uid="{79DC3D9D-0AAF-4698-BCBE-B2BBDA8200F8}"/>
    <cellStyle name="Normal 4 5 3 2 4 3" xfId="8009" xr:uid="{67A7ECD2-05B5-4537-B8E0-81BF366FDA13}"/>
    <cellStyle name="Normal 4 5 3 2 4 4" xfId="8010" xr:uid="{5F7E4FA9-F86D-40DC-BF2D-F9340FE2E1FA}"/>
    <cellStyle name="Normal 4 5 3 2 4 5" xfId="8011" xr:uid="{7787A8D0-829B-4F2B-8B9E-CE993C475E0C}"/>
    <cellStyle name="Normal 4 5 3 2 5" xfId="8012" xr:uid="{7D90B4F5-97C2-43C2-9CE0-7934E2DAED8D}"/>
    <cellStyle name="Normal 4 5 3 2 5 2" xfId="8013" xr:uid="{FBDDC947-E5E7-409F-AE16-27B61F2D395C}"/>
    <cellStyle name="Normal 4 5 3 2 5 3" xfId="8014" xr:uid="{C881D76A-8FA6-44D3-85C1-2EF7EB2701F5}"/>
    <cellStyle name="Normal 4 5 3 2 6" xfId="8015" xr:uid="{35AFF253-F87A-4D1F-8F35-2C31E362DE95}"/>
    <cellStyle name="Normal 4 5 3 2 7" xfId="8016" xr:uid="{148FEDB8-FD27-4891-A78F-67CAC0ED284E}"/>
    <cellStyle name="Normal 4 5 3 2 8" xfId="8017" xr:uid="{ED8AE8CE-5F30-48BC-9675-DFA00569B704}"/>
    <cellStyle name="Normal 4 5 3 3" xfId="8018" xr:uid="{A45ACB60-ADC4-4737-A650-DB22E0E35626}"/>
    <cellStyle name="Normal 4 5 3 3 2" xfId="8019" xr:uid="{EDEE75D4-1660-497D-BBFE-14914A3F638D}"/>
    <cellStyle name="Normal 4 5 3 3 2 2" xfId="8020" xr:uid="{7ED47C10-4EA1-46F6-8392-EE90578C0D3D}"/>
    <cellStyle name="Normal 4 5 3 3 2 2 2" xfId="8021" xr:uid="{4821615A-CAF2-488F-9BBB-23AE19A9EF17}"/>
    <cellStyle name="Normal 4 5 3 3 2 2 3" xfId="8022" xr:uid="{1DE2AF1D-B744-4B3E-BBB7-FE100D98A3BD}"/>
    <cellStyle name="Normal 4 5 3 3 2 3" xfId="8023" xr:uid="{1F10C1A5-2D4A-46F8-807F-B16B16673E53}"/>
    <cellStyle name="Normal 4 5 3 3 2 4" xfId="8024" xr:uid="{AB3FEE0A-B31D-4C0D-B424-80BBB6FB9F2B}"/>
    <cellStyle name="Normal 4 5 3 3 2 5" xfId="8025" xr:uid="{781BB435-CB45-4600-AD83-A16D56A788EE}"/>
    <cellStyle name="Normal 4 5 3 3 3" xfId="8026" xr:uid="{85254C5D-A94E-409D-8CBA-A2D1FE21F0C7}"/>
    <cellStyle name="Normal 4 5 3 3 3 2" xfId="8027" xr:uid="{862008DF-C0BD-42DA-8D41-3327DD628F90}"/>
    <cellStyle name="Normal 4 5 3 3 3 2 2" xfId="8028" xr:uid="{46A5236A-5DFF-46FA-A5A0-D790D49A2F2F}"/>
    <cellStyle name="Normal 4 5 3 3 3 2 3" xfId="8029" xr:uid="{E2342DE8-4D8C-4927-AA2B-36CEA8818607}"/>
    <cellStyle name="Normal 4 5 3 3 3 3" xfId="8030" xr:uid="{1FBC1107-234F-4990-AB8E-D8A650259593}"/>
    <cellStyle name="Normal 4 5 3 3 3 4" xfId="8031" xr:uid="{BDC5F1CC-71CD-40DE-84BD-66E12AD11F91}"/>
    <cellStyle name="Normal 4 5 3 3 3 5" xfId="8032" xr:uid="{F7C9E9C7-670F-42BC-8E25-4DBF625FA5E9}"/>
    <cellStyle name="Normal 4 5 3 3 4" xfId="8033" xr:uid="{935F2CDC-8AFB-46D5-A197-4B24C66FF8E9}"/>
    <cellStyle name="Normal 4 5 3 3 4 2" xfId="8034" xr:uid="{9F024FCA-31FC-4124-A67D-EFE8CFF62673}"/>
    <cellStyle name="Normal 4 5 3 3 4 3" xfId="8035" xr:uid="{D659B467-4C04-4CD8-B4F8-6C77E79FD468}"/>
    <cellStyle name="Normal 4 5 3 3 5" xfId="8036" xr:uid="{038F757A-7316-4A35-988B-B0E09DB9B1F9}"/>
    <cellStyle name="Normal 4 5 3 3 6" xfId="8037" xr:uid="{7B183F3A-7AC9-4FB4-A040-F20AD366B82D}"/>
    <cellStyle name="Normal 4 5 3 3 7" xfId="8038" xr:uid="{3771FDE5-F745-4DC0-9765-5894952C0272}"/>
    <cellStyle name="Normal 4 5 3 4" xfId="8039" xr:uid="{E7A09BF4-D9EE-4F4D-916C-150995B0F64F}"/>
    <cellStyle name="Normal 4 5 3 4 2" xfId="8040" xr:uid="{08470D89-3D55-4C0B-A041-38CF8A8EA4EB}"/>
    <cellStyle name="Normal 4 5 3 4 2 2" xfId="8041" xr:uid="{ADA0DEAF-B5C5-4405-AC57-D79B2CDF88F6}"/>
    <cellStyle name="Normal 4 5 3 4 2 3" xfId="8042" xr:uid="{0D3AF1EB-B25E-45A3-A651-3703BFEE111C}"/>
    <cellStyle name="Normal 4 5 3 4 3" xfId="8043" xr:uid="{393499A7-13E7-4C9F-9388-786495819366}"/>
    <cellStyle name="Normal 4 5 3 4 4" xfId="8044" xr:uid="{2B75E2A6-AF10-40FF-903A-7D8E4D916028}"/>
    <cellStyle name="Normal 4 5 3 4 5" xfId="8045" xr:uid="{D118C1DD-27C3-40FF-9A33-64090E62B100}"/>
    <cellStyle name="Normal 4 5 3 5" xfId="8046" xr:uid="{FC95ADDD-D3CA-488C-82A3-7AFA138CF29A}"/>
    <cellStyle name="Normal 4 5 3 5 2" xfId="8047" xr:uid="{0770AF01-D1D5-4EFC-BBE2-C188250B1DB4}"/>
    <cellStyle name="Normal 4 5 3 5 2 2" xfId="8048" xr:uid="{FF23F923-5ECE-4FCB-8ECD-5DA98F3E75D2}"/>
    <cellStyle name="Normal 4 5 3 5 2 3" xfId="8049" xr:uid="{17F07FE7-CFC8-4B17-BD37-042D62EF31CF}"/>
    <cellStyle name="Normal 4 5 3 5 3" xfId="8050" xr:uid="{8806DF33-259A-492E-AA67-41953F4F34EE}"/>
    <cellStyle name="Normal 4 5 3 5 4" xfId="8051" xr:uid="{A20AD945-031F-42AC-A7A0-84D8E53DBF74}"/>
    <cellStyle name="Normal 4 5 3 5 5" xfId="8052" xr:uid="{8680F66A-D8EE-461C-AD32-36ABDF365DBF}"/>
    <cellStyle name="Normal 4 5 3 6" xfId="8053" xr:uid="{45D49128-F072-400B-B3F0-2A7DA93BC804}"/>
    <cellStyle name="Normal 4 5 3 6 2" xfId="8054" xr:uid="{70D8B2DB-87E9-41BD-AE8C-7B6A1E49D509}"/>
    <cellStyle name="Normal 4 5 3 6 3" xfId="8055" xr:uid="{5E7858EE-F353-44F5-A8DD-6B14C6815DA7}"/>
    <cellStyle name="Normal 4 5 3 7" xfId="8056" xr:uid="{7FA0A5E6-8F72-4AE3-9ADC-E58272612D09}"/>
    <cellStyle name="Normal 4 5 3 8" xfId="8057" xr:uid="{0E2E94E9-D075-45C9-B611-A6CD8BE729BD}"/>
    <cellStyle name="Normal 4 5 3 9" xfId="8058" xr:uid="{23BCEBB1-F8C2-4525-86A7-083324067CA7}"/>
    <cellStyle name="Normal 4 5 4" xfId="8059" xr:uid="{69296119-34EC-48F3-842F-83C62D23703F}"/>
    <cellStyle name="Normal 4 5 4 2" xfId="8060" xr:uid="{F1FA61F4-23DD-4801-8B01-AD6AF5C851F6}"/>
    <cellStyle name="Normal 4 5 4 2 2" xfId="8061" xr:uid="{1D84BA74-1A60-4264-A513-D20653ABB39D}"/>
    <cellStyle name="Normal 4 5 4 2 2 2" xfId="8062" xr:uid="{5CE609E4-E077-4676-A34B-ED07C8BFDB08}"/>
    <cellStyle name="Normal 4 5 4 2 2 2 2" xfId="8063" xr:uid="{809016AB-6A44-4D4C-8D7F-6D932CD166A6}"/>
    <cellStyle name="Normal 4 5 4 2 2 2 2 2" xfId="8064" xr:uid="{5223DA93-E423-4F77-8A82-B8F1515A26D2}"/>
    <cellStyle name="Normal 4 5 4 2 2 2 2 3" xfId="8065" xr:uid="{02460150-BFD5-43BA-AF1E-7590517E50FF}"/>
    <cellStyle name="Normal 4 5 4 2 2 2 3" xfId="8066" xr:uid="{C3D56F82-D1E1-40C5-AAA8-BFD71EA68517}"/>
    <cellStyle name="Normal 4 5 4 2 2 2 4" xfId="8067" xr:uid="{F970DFD5-306A-462A-A9A6-26A0EED92A42}"/>
    <cellStyle name="Normal 4 5 4 2 2 2 5" xfId="8068" xr:uid="{99E9987D-ACF9-4087-A7B7-C2AA52920A2A}"/>
    <cellStyle name="Normal 4 5 4 2 2 3" xfId="8069" xr:uid="{4C8665C1-1E92-47C4-AA77-8EC0A7FF3E74}"/>
    <cellStyle name="Normal 4 5 4 2 2 3 2" xfId="8070" xr:uid="{AD26BCE4-ADE3-4D13-BF92-2750533458C2}"/>
    <cellStyle name="Normal 4 5 4 2 2 3 2 2" xfId="8071" xr:uid="{79876DC1-8EAB-40A9-B6F0-250761A5776E}"/>
    <cellStyle name="Normal 4 5 4 2 2 3 2 3" xfId="8072" xr:uid="{BDFCCF7C-4232-4A38-9A19-29208F17A6BD}"/>
    <cellStyle name="Normal 4 5 4 2 2 3 3" xfId="8073" xr:uid="{814E4F60-87E0-4DCD-B049-AE6F7265F6A4}"/>
    <cellStyle name="Normal 4 5 4 2 2 3 4" xfId="8074" xr:uid="{812822EC-75DA-4090-9120-333D0341E96E}"/>
    <cellStyle name="Normal 4 5 4 2 2 3 5" xfId="8075" xr:uid="{204D309E-2C5F-4764-93D3-4BC458708E98}"/>
    <cellStyle name="Normal 4 5 4 2 2 4" xfId="8076" xr:uid="{657842C2-DAD3-40AE-9BE9-C72405485409}"/>
    <cellStyle name="Normal 4 5 4 2 2 4 2" xfId="8077" xr:uid="{12467371-423F-44CA-B175-4C278617AE94}"/>
    <cellStyle name="Normal 4 5 4 2 2 4 3" xfId="8078" xr:uid="{766C6897-03AA-4949-8FBB-A4BBE2488E41}"/>
    <cellStyle name="Normal 4 5 4 2 2 5" xfId="8079" xr:uid="{6B93D163-052E-4072-8864-BD63278F956D}"/>
    <cellStyle name="Normal 4 5 4 2 2 6" xfId="8080" xr:uid="{200D8E84-F37F-4788-B03E-6EF522495F55}"/>
    <cellStyle name="Normal 4 5 4 2 2 7" xfId="8081" xr:uid="{F895F7A7-C569-4457-87AA-A665FABDF2C0}"/>
    <cellStyle name="Normal 4 5 4 2 3" xfId="8082" xr:uid="{1AC129AB-A754-4AE9-A4D4-76808A90ACC2}"/>
    <cellStyle name="Normal 4 5 4 2 3 2" xfId="8083" xr:uid="{F1AEA3D0-455C-4105-86F0-DAA104B3D1FB}"/>
    <cellStyle name="Normal 4 5 4 2 3 2 2" xfId="8084" xr:uid="{C9A5B65F-D366-4077-98DB-0D7EB715F015}"/>
    <cellStyle name="Normal 4 5 4 2 3 2 3" xfId="8085" xr:uid="{5447A1E6-F151-49F7-A90E-2C2259F8BD34}"/>
    <cellStyle name="Normal 4 5 4 2 3 3" xfId="8086" xr:uid="{6A76A220-2B64-47BA-936C-CD484FF904AE}"/>
    <cellStyle name="Normal 4 5 4 2 3 4" xfId="8087" xr:uid="{1A283A49-6BD5-495B-9DF7-F1C2D4113FEA}"/>
    <cellStyle name="Normal 4 5 4 2 3 5" xfId="8088" xr:uid="{496125A1-09A6-4868-9DC0-C2B0889E64FD}"/>
    <cellStyle name="Normal 4 5 4 2 4" xfId="8089" xr:uid="{2A6E2CB9-E06D-483A-AFA8-137D2265DE21}"/>
    <cellStyle name="Normal 4 5 4 2 4 2" xfId="8090" xr:uid="{39549A8C-1B5F-4E8C-BF1B-752B6AA01EB8}"/>
    <cellStyle name="Normal 4 5 4 2 4 2 2" xfId="8091" xr:uid="{B610F3BF-3FFC-40C6-95FB-04C0746365CF}"/>
    <cellStyle name="Normal 4 5 4 2 4 2 3" xfId="8092" xr:uid="{7241A9D3-E160-4360-91AA-A5762C8B6910}"/>
    <cellStyle name="Normal 4 5 4 2 4 3" xfId="8093" xr:uid="{8FCBC5FB-EC70-4C87-BEC0-0B7613477D53}"/>
    <cellStyle name="Normal 4 5 4 2 4 4" xfId="8094" xr:uid="{3444F200-D57D-49F9-90D2-1BF2C3604345}"/>
    <cellStyle name="Normal 4 5 4 2 4 5" xfId="8095" xr:uid="{8DA2C1DF-96BC-4A57-89A1-B3AC6B1B9288}"/>
    <cellStyle name="Normal 4 5 4 2 5" xfId="8096" xr:uid="{5012D8DC-AAC0-43ED-97BD-C8B203C9626B}"/>
    <cellStyle name="Normal 4 5 4 2 5 2" xfId="8097" xr:uid="{4C0EDFB9-6F2C-4927-A0DB-EE96968E596F}"/>
    <cellStyle name="Normal 4 5 4 2 5 3" xfId="8098" xr:uid="{213B4086-3D4A-4017-B733-12651CD34D7A}"/>
    <cellStyle name="Normal 4 5 4 2 6" xfId="8099" xr:uid="{6A9E6030-A41B-4209-9E30-88C0385A36DA}"/>
    <cellStyle name="Normal 4 5 4 2 7" xfId="8100" xr:uid="{1B9F5213-57FA-40C2-814B-B65EDFF84AD7}"/>
    <cellStyle name="Normal 4 5 4 2 8" xfId="8101" xr:uid="{5F89D1FF-AFDB-4167-ABA1-8A50EAA7D438}"/>
    <cellStyle name="Normal 4 5 4 3" xfId="8102" xr:uid="{43171C2A-2FFE-445C-A1A1-9BFF45119976}"/>
    <cellStyle name="Normal 4 5 4 3 2" xfId="8103" xr:uid="{4CA5B992-2A1E-4709-8344-59A2C6A5E80F}"/>
    <cellStyle name="Normal 4 5 4 3 2 2" xfId="8104" xr:uid="{62C93183-720F-427E-B7B0-DED6892E39F4}"/>
    <cellStyle name="Normal 4 5 4 3 2 2 2" xfId="8105" xr:uid="{5E35E67A-8E58-4EC0-B302-AA19BF80F30F}"/>
    <cellStyle name="Normal 4 5 4 3 2 2 3" xfId="8106" xr:uid="{B7DFD22C-BFCB-4E61-8A59-779AB7D3D01B}"/>
    <cellStyle name="Normal 4 5 4 3 2 3" xfId="8107" xr:uid="{FF984BAE-7E9B-4A9D-9CBC-77584E73FE07}"/>
    <cellStyle name="Normal 4 5 4 3 2 4" xfId="8108" xr:uid="{F73B49E2-81E7-4084-A996-4E873F46D44D}"/>
    <cellStyle name="Normal 4 5 4 3 2 5" xfId="8109" xr:uid="{738B92A9-2723-4F73-B911-C1181AD69612}"/>
    <cellStyle name="Normal 4 5 4 3 3" xfId="8110" xr:uid="{EB88DA57-52C5-411F-A3DE-640C4CE895BD}"/>
    <cellStyle name="Normal 4 5 4 3 3 2" xfId="8111" xr:uid="{87942FF0-2451-40DB-9A64-AEF2609D33F7}"/>
    <cellStyle name="Normal 4 5 4 3 3 2 2" xfId="8112" xr:uid="{4B190226-2F37-4974-B8F0-F735ED0884AA}"/>
    <cellStyle name="Normal 4 5 4 3 3 2 3" xfId="8113" xr:uid="{2241F8FD-5AC3-4741-842C-039A01D70506}"/>
    <cellStyle name="Normal 4 5 4 3 3 3" xfId="8114" xr:uid="{B1F1183C-2DD8-4404-A922-44B98B568B76}"/>
    <cellStyle name="Normal 4 5 4 3 3 4" xfId="8115" xr:uid="{D18C3D7C-194E-45F7-857F-3043F598D90D}"/>
    <cellStyle name="Normal 4 5 4 3 3 5" xfId="8116" xr:uid="{6CE0ACE2-A15B-4FCD-B192-B202D3E4E0B5}"/>
    <cellStyle name="Normal 4 5 4 3 4" xfId="8117" xr:uid="{5339DDF8-A1C0-4461-97B6-6F3E43487F93}"/>
    <cellStyle name="Normal 4 5 4 3 4 2" xfId="8118" xr:uid="{19FF8257-9512-499E-A36E-EF2897813FED}"/>
    <cellStyle name="Normal 4 5 4 3 4 3" xfId="8119" xr:uid="{094FFC1B-29ED-410C-9326-CE946B964DBE}"/>
    <cellStyle name="Normal 4 5 4 3 5" xfId="8120" xr:uid="{29CA640F-C601-43F5-B4D3-BDF023084934}"/>
    <cellStyle name="Normal 4 5 4 3 6" xfId="8121" xr:uid="{92F0D466-A802-4130-830D-8CF5BF69597A}"/>
    <cellStyle name="Normal 4 5 4 3 7" xfId="8122" xr:uid="{50BBF956-793B-4772-996E-DFC60AFCE70E}"/>
    <cellStyle name="Normal 4 5 4 4" xfId="8123" xr:uid="{831CFC14-4158-436F-901E-FD650C50435D}"/>
    <cellStyle name="Normal 4 5 4 4 2" xfId="8124" xr:uid="{991E0575-CF0A-42EA-8E2F-16499FC23537}"/>
    <cellStyle name="Normal 4 5 4 4 2 2" xfId="8125" xr:uid="{EA0669F6-49AD-48C6-87BD-8ECE18F83E9F}"/>
    <cellStyle name="Normal 4 5 4 4 2 3" xfId="8126" xr:uid="{8B831439-592F-455C-BE29-69075C35FF35}"/>
    <cellStyle name="Normal 4 5 4 4 3" xfId="8127" xr:uid="{9DF2C36F-1818-403E-8E88-60BBC6DB2B51}"/>
    <cellStyle name="Normal 4 5 4 4 4" xfId="8128" xr:uid="{91548024-F8B6-47E3-85F0-36D4FC8C7BFB}"/>
    <cellStyle name="Normal 4 5 4 4 5" xfId="8129" xr:uid="{E4A9C6F3-CF9C-4B44-8288-6938E6033A50}"/>
    <cellStyle name="Normal 4 5 4 5" xfId="8130" xr:uid="{FD3126D0-0A05-4610-B8CE-9D7696AF40D8}"/>
    <cellStyle name="Normal 4 5 4 5 2" xfId="8131" xr:uid="{22C86233-4E0C-40E2-B40E-20D1C510838D}"/>
    <cellStyle name="Normal 4 5 4 5 2 2" xfId="8132" xr:uid="{50D3FEA6-CE1A-4BEA-B6DB-1AC4B86FF6F1}"/>
    <cellStyle name="Normal 4 5 4 5 2 3" xfId="8133" xr:uid="{DAE4FA10-63C9-4759-B1E2-AB6516A08A10}"/>
    <cellStyle name="Normal 4 5 4 5 3" xfId="8134" xr:uid="{7A9283FC-1644-4E39-B4D0-98725083D500}"/>
    <cellStyle name="Normal 4 5 4 5 4" xfId="8135" xr:uid="{4148E5AD-98EC-487D-B752-FF33BE6E5BE4}"/>
    <cellStyle name="Normal 4 5 4 5 5" xfId="8136" xr:uid="{81887B93-4899-4F1D-A2F2-470C83D31DF4}"/>
    <cellStyle name="Normal 4 5 4 6" xfId="8137" xr:uid="{6DC390EA-80FB-49F5-B10A-AA1B38B80E66}"/>
    <cellStyle name="Normal 4 5 4 6 2" xfId="8138" xr:uid="{11E1F86F-7AF2-4C1C-A2BE-FF65D6FA2E57}"/>
    <cellStyle name="Normal 4 5 4 6 3" xfId="8139" xr:uid="{4BEDD91E-07AB-47E3-AF2E-59FE137F2FB1}"/>
    <cellStyle name="Normal 4 5 4 7" xfId="8140" xr:uid="{6AE29558-CBDC-414F-A506-171BE86D6ACC}"/>
    <cellStyle name="Normal 4 5 4 8" xfId="8141" xr:uid="{C533D979-B6FF-433D-B16E-B48BFDAAA20B}"/>
    <cellStyle name="Normal 4 5 4 9" xfId="8142" xr:uid="{4FB917D9-E479-4BDC-BC35-9853AA4DDB67}"/>
    <cellStyle name="Normal 4 5 5" xfId="8143" xr:uid="{CAA36BD9-F991-4FA2-9E9B-99900F4531D1}"/>
    <cellStyle name="Normal 4 5 5 2" xfId="8144" xr:uid="{F8014F81-9B3F-429D-8588-92A312E9A652}"/>
    <cellStyle name="Normal 4 5 5 2 2" xfId="8145" xr:uid="{75820E3A-EF38-4B10-8E8A-B8FA87543F95}"/>
    <cellStyle name="Normal 4 5 5 2 2 2" xfId="8146" xr:uid="{BA33068B-CADE-4B84-AB75-54D94AA161FA}"/>
    <cellStyle name="Normal 4 5 5 2 2 2 2" xfId="8147" xr:uid="{7A2D944B-574D-4890-845C-23270F4A12A6}"/>
    <cellStyle name="Normal 4 5 5 2 2 2 2 2" xfId="8148" xr:uid="{38CD001F-D7FE-471B-A4DB-C8BBDF7481F9}"/>
    <cellStyle name="Normal 4 5 5 2 2 2 2 3" xfId="8149" xr:uid="{38C03A96-702D-4E9D-87E9-3CAFFBB444BD}"/>
    <cellStyle name="Normal 4 5 5 2 2 2 3" xfId="8150" xr:uid="{1986081F-6023-413B-8F9C-A025539B191C}"/>
    <cellStyle name="Normal 4 5 5 2 2 2 4" xfId="8151" xr:uid="{FB4C49E5-FB47-45B1-AB20-8A06E4D8E703}"/>
    <cellStyle name="Normal 4 5 5 2 2 2 5" xfId="8152" xr:uid="{768F575F-D12A-41ED-B305-A034C2CCE0B8}"/>
    <cellStyle name="Normal 4 5 5 2 2 3" xfId="8153" xr:uid="{DD02CC41-7189-4BAE-AAD4-563B73836B9D}"/>
    <cellStyle name="Normal 4 5 5 2 2 3 2" xfId="8154" xr:uid="{277EDD1F-4858-4059-B9E6-559464AB73B2}"/>
    <cellStyle name="Normal 4 5 5 2 2 3 2 2" xfId="8155" xr:uid="{F59A2EAF-CD63-4519-A0FD-FC4F88EA4EA1}"/>
    <cellStyle name="Normal 4 5 5 2 2 3 2 3" xfId="8156" xr:uid="{CAE0CDCA-7D23-4A1D-9E28-2DBD1D2F51E8}"/>
    <cellStyle name="Normal 4 5 5 2 2 3 3" xfId="8157" xr:uid="{0ABB4653-5222-4B50-85FD-4147E33B24A9}"/>
    <cellStyle name="Normal 4 5 5 2 2 3 4" xfId="8158" xr:uid="{6FC53B60-6D66-4A28-A428-C35F9EE0B4BB}"/>
    <cellStyle name="Normal 4 5 5 2 2 3 5" xfId="8159" xr:uid="{C705DFEF-C3A3-4D57-B6F5-4156CB47E399}"/>
    <cellStyle name="Normal 4 5 5 2 2 4" xfId="8160" xr:uid="{6705FF53-5EBB-4643-BE53-3F3C06666970}"/>
    <cellStyle name="Normal 4 5 5 2 2 4 2" xfId="8161" xr:uid="{3A938835-0D65-4A54-B27D-322370672DC9}"/>
    <cellStyle name="Normal 4 5 5 2 2 4 3" xfId="8162" xr:uid="{1982B26E-58D1-4851-8C0F-A6ACC007687A}"/>
    <cellStyle name="Normal 4 5 5 2 2 5" xfId="8163" xr:uid="{5DC4F107-7D25-4573-83F6-879FC6DC9165}"/>
    <cellStyle name="Normal 4 5 5 2 2 6" xfId="8164" xr:uid="{90ECCE6C-80E9-4386-9CF9-7B5845B462BA}"/>
    <cellStyle name="Normal 4 5 5 2 2 7" xfId="8165" xr:uid="{68328712-D579-4D90-8BA4-C3FDBD2C7D0B}"/>
    <cellStyle name="Normal 4 5 5 2 3" xfId="8166" xr:uid="{57009ECA-7FA2-45DB-8A8F-0D138FD3E445}"/>
    <cellStyle name="Normal 4 5 5 2 3 2" xfId="8167" xr:uid="{06B0CC0E-94FE-410C-9813-CF7CD31D0305}"/>
    <cellStyle name="Normal 4 5 5 2 3 2 2" xfId="8168" xr:uid="{C92FA5E9-F9C9-4C4C-B3C3-54479CFB5BCD}"/>
    <cellStyle name="Normal 4 5 5 2 3 2 3" xfId="8169" xr:uid="{D5C7D4BD-0901-49C2-8608-BC026374AF7C}"/>
    <cellStyle name="Normal 4 5 5 2 3 3" xfId="8170" xr:uid="{4233D83F-F283-4D5C-AA0B-D89A8C36CFB1}"/>
    <cellStyle name="Normal 4 5 5 2 3 4" xfId="8171" xr:uid="{FA20E5F4-961F-4B65-9846-A61BE28A419A}"/>
    <cellStyle name="Normal 4 5 5 2 3 5" xfId="8172" xr:uid="{40337219-B51E-45A0-959A-52743A0A8C2E}"/>
    <cellStyle name="Normal 4 5 5 2 4" xfId="8173" xr:uid="{4DB50166-D5C5-4355-B772-02905CCAA89C}"/>
    <cellStyle name="Normal 4 5 5 2 4 2" xfId="8174" xr:uid="{B6C5C582-EE71-4A54-9D74-26FAE88C7AC8}"/>
    <cellStyle name="Normal 4 5 5 2 4 2 2" xfId="8175" xr:uid="{BAF678B9-4DA3-454B-9EBB-AB95350A2445}"/>
    <cellStyle name="Normal 4 5 5 2 4 2 3" xfId="8176" xr:uid="{D7294198-4C12-49C5-9C0E-6B8A7DD0657B}"/>
    <cellStyle name="Normal 4 5 5 2 4 3" xfId="8177" xr:uid="{7C4FDD9C-B75B-4ED9-956D-8DAF2661DFCC}"/>
    <cellStyle name="Normal 4 5 5 2 4 4" xfId="8178" xr:uid="{DA86FD41-705E-4B81-9043-2B354D721DA1}"/>
    <cellStyle name="Normal 4 5 5 2 4 5" xfId="8179" xr:uid="{B7D3068F-D97C-488E-B65D-1FD09A29C530}"/>
    <cellStyle name="Normal 4 5 5 2 5" xfId="8180" xr:uid="{51BFFC67-CF1D-47FB-8365-0A0CF6EF80D4}"/>
    <cellStyle name="Normal 4 5 5 2 5 2" xfId="8181" xr:uid="{013CCCD4-F23F-4A4C-8D59-3ADDEEDBFB07}"/>
    <cellStyle name="Normal 4 5 5 2 5 3" xfId="8182" xr:uid="{A984092D-B783-4D67-AA46-A958A77B864C}"/>
    <cellStyle name="Normal 4 5 5 2 6" xfId="8183" xr:uid="{D5A8ED89-F942-47DE-B5DF-C211A9BCC659}"/>
    <cellStyle name="Normal 4 5 5 2 7" xfId="8184" xr:uid="{B03CDF17-4E23-46C4-B1D3-E799D9C931F0}"/>
    <cellStyle name="Normal 4 5 5 2 8" xfId="8185" xr:uid="{3746F32F-2A36-4F12-8242-28FF834775A0}"/>
    <cellStyle name="Normal 4 5 5 3" xfId="8186" xr:uid="{D2183FA1-AF8D-4568-A1AA-57BB9FCD65EF}"/>
    <cellStyle name="Normal 4 5 5 3 2" xfId="8187" xr:uid="{A5C62294-82D4-40A1-8CAD-541C14ED610C}"/>
    <cellStyle name="Normal 4 5 5 3 2 2" xfId="8188" xr:uid="{F4E19E3F-FA42-428E-9BDF-95E814F7EF8B}"/>
    <cellStyle name="Normal 4 5 5 3 2 2 2" xfId="8189" xr:uid="{FD7492E9-7216-4057-8C8D-E271AB4108AA}"/>
    <cellStyle name="Normal 4 5 5 3 2 2 3" xfId="8190" xr:uid="{0AEED86B-3A79-49DC-837F-3040FEAA61D9}"/>
    <cellStyle name="Normal 4 5 5 3 2 3" xfId="8191" xr:uid="{51F50F65-5A4F-4A1A-A22D-DC868863B60A}"/>
    <cellStyle name="Normal 4 5 5 3 2 4" xfId="8192" xr:uid="{F5689898-1C35-4B1E-82F6-6784F7877161}"/>
    <cellStyle name="Normal 4 5 5 3 2 5" xfId="8193" xr:uid="{833882EB-A550-49F6-B842-CD1E464CC229}"/>
    <cellStyle name="Normal 4 5 5 3 3" xfId="8194" xr:uid="{46774B86-43E9-4F8F-BB09-D0156E52000A}"/>
    <cellStyle name="Normal 4 5 5 3 3 2" xfId="8195" xr:uid="{7AFC4D58-BCB7-4B3B-A6D3-ECBA81CEE794}"/>
    <cellStyle name="Normal 4 5 5 3 3 2 2" xfId="8196" xr:uid="{D5F2FE2A-8F50-4969-BACC-4A27E2A19C0C}"/>
    <cellStyle name="Normal 4 5 5 3 3 2 3" xfId="8197" xr:uid="{E6489D49-E43A-4C1E-9FEF-6DDD7FA1A17F}"/>
    <cellStyle name="Normal 4 5 5 3 3 3" xfId="8198" xr:uid="{8CC1551D-B450-423C-8345-56FB52A46EED}"/>
    <cellStyle name="Normal 4 5 5 3 3 4" xfId="8199" xr:uid="{259B2A92-457E-440F-A1CD-E58E0ABA1122}"/>
    <cellStyle name="Normal 4 5 5 3 3 5" xfId="8200" xr:uid="{246F4860-9E9C-4764-937D-675DB10605E6}"/>
    <cellStyle name="Normal 4 5 5 3 4" xfId="8201" xr:uid="{35B8E573-F4D1-4B11-9220-8EC51FEAF73B}"/>
    <cellStyle name="Normal 4 5 5 3 4 2" xfId="8202" xr:uid="{F73B3B49-793D-4BD6-89A7-119AE0C2C000}"/>
    <cellStyle name="Normal 4 5 5 3 4 3" xfId="8203" xr:uid="{8185A9AF-DE7B-4BBB-BDAB-C31C5F098520}"/>
    <cellStyle name="Normal 4 5 5 3 5" xfId="8204" xr:uid="{B49ABB0B-40D6-4A2E-B16C-3E4CDEDDEB4D}"/>
    <cellStyle name="Normal 4 5 5 3 6" xfId="8205" xr:uid="{3345FF9A-9B85-42A7-82DB-52F930AA8DCE}"/>
    <cellStyle name="Normal 4 5 5 3 7" xfId="8206" xr:uid="{5E7F54D8-F602-4877-BD9F-F18F986083B6}"/>
    <cellStyle name="Normal 4 5 5 4" xfId="8207" xr:uid="{02AB4E3D-1F40-422A-B5D7-B67F31352C1B}"/>
    <cellStyle name="Normal 4 5 5 4 2" xfId="8208" xr:uid="{FBED755E-E52D-49BA-B069-21F91FBF9A6F}"/>
    <cellStyle name="Normal 4 5 5 4 2 2" xfId="8209" xr:uid="{6594AF04-278E-4919-BEE9-4A677F878F43}"/>
    <cellStyle name="Normal 4 5 5 4 2 3" xfId="8210" xr:uid="{C52FD4AF-368A-461D-BF96-610DBF1E26F7}"/>
    <cellStyle name="Normal 4 5 5 4 3" xfId="8211" xr:uid="{DF8204B2-4C35-4703-9336-D0375A0B343F}"/>
    <cellStyle name="Normal 4 5 5 4 4" xfId="8212" xr:uid="{C9596BAA-7912-4856-B7D6-8831A809F297}"/>
    <cellStyle name="Normal 4 5 5 4 5" xfId="8213" xr:uid="{D12FD39C-3855-4412-8F00-66B7081E4024}"/>
    <cellStyle name="Normal 4 5 5 5" xfId="8214" xr:uid="{5C5C3277-CE5B-4EE7-BA86-DA49BDCDB97D}"/>
    <cellStyle name="Normal 4 5 5 5 2" xfId="8215" xr:uid="{9AFF4A33-6CC9-4774-9F7D-5261BFE9BD03}"/>
    <cellStyle name="Normal 4 5 5 5 2 2" xfId="8216" xr:uid="{91FBEBEE-FB68-4FF2-B88F-5D74A85BF7D5}"/>
    <cellStyle name="Normal 4 5 5 5 2 3" xfId="8217" xr:uid="{35A29EF7-FDBC-45D6-945E-163A3B6A8475}"/>
    <cellStyle name="Normal 4 5 5 5 3" xfId="8218" xr:uid="{31AFD935-7A6C-4EB5-8094-691F3D965B1D}"/>
    <cellStyle name="Normal 4 5 5 5 4" xfId="8219" xr:uid="{EBBD2051-3FE9-48AB-B77E-B7348B9582B1}"/>
    <cellStyle name="Normal 4 5 5 5 5" xfId="8220" xr:uid="{18CF1C9E-2A9D-4A91-90A8-73A6ED32BA6B}"/>
    <cellStyle name="Normal 4 5 5 6" xfId="8221" xr:uid="{18F626D3-86F6-409F-9945-18BF9E763163}"/>
    <cellStyle name="Normal 4 5 5 6 2" xfId="8222" xr:uid="{E1D6FF41-1C71-4D56-A196-4420FF165BE6}"/>
    <cellStyle name="Normal 4 5 5 6 3" xfId="8223" xr:uid="{78703A63-0149-4C9F-8D11-2D06EE4B59E8}"/>
    <cellStyle name="Normal 4 5 5 7" xfId="8224" xr:uid="{F0352205-A48A-4BAE-B126-82C7292FC15F}"/>
    <cellStyle name="Normal 4 5 5 8" xfId="8225" xr:uid="{09D14416-EEB6-4CE0-BD52-8D2ED8E2DBCD}"/>
    <cellStyle name="Normal 4 5 5 9" xfId="8226" xr:uid="{79421A0E-A0C1-4B11-B82F-61BB92893DE3}"/>
    <cellStyle name="Normal 4 5 6" xfId="8227" xr:uid="{5F82B1B3-0F69-4719-9A25-1F8040BD9398}"/>
    <cellStyle name="Normal 4 5 6 2" xfId="8228" xr:uid="{7154226D-E957-45FA-8397-B060D51E3F2E}"/>
    <cellStyle name="Normal 4 5 6 2 2" xfId="8229" xr:uid="{757397F1-1FD3-4F10-B85F-37DE3674FA0B}"/>
    <cellStyle name="Normal 4 5 6 2 2 2" xfId="8230" xr:uid="{63C98951-93BC-4BD6-AFAB-8A5966E552CB}"/>
    <cellStyle name="Normal 4 5 6 2 2 2 2" xfId="8231" xr:uid="{4B75E078-D15B-43FA-A769-7CDB31166DEF}"/>
    <cellStyle name="Normal 4 5 6 2 2 2 3" xfId="8232" xr:uid="{EB6FAB16-BAE6-4075-A265-EA23AE13DA8D}"/>
    <cellStyle name="Normal 4 5 6 2 2 3" xfId="8233" xr:uid="{C8B90E7A-8503-445B-B803-CB17442B774B}"/>
    <cellStyle name="Normal 4 5 6 2 2 4" xfId="8234" xr:uid="{69AFB0A3-AD93-4004-ACE4-CEA0C8D73797}"/>
    <cellStyle name="Normal 4 5 6 2 2 5" xfId="8235" xr:uid="{4F6E391F-8287-4681-B0F4-AF7F4537A529}"/>
    <cellStyle name="Normal 4 5 6 2 3" xfId="8236" xr:uid="{BDAB4B43-ABDC-4370-B47E-9CF4BC927026}"/>
    <cellStyle name="Normal 4 5 6 2 3 2" xfId="8237" xr:uid="{D4829923-3EFF-41DF-A027-973486D90E1D}"/>
    <cellStyle name="Normal 4 5 6 2 3 2 2" xfId="8238" xr:uid="{A6AD081F-6672-4A2F-8FE7-864C99A4D938}"/>
    <cellStyle name="Normal 4 5 6 2 3 2 3" xfId="8239" xr:uid="{A6B1AD41-082A-46F9-A4F5-E0883B5BF2A0}"/>
    <cellStyle name="Normal 4 5 6 2 3 3" xfId="8240" xr:uid="{B53A6135-2F39-4951-AEAA-B738FE8CC247}"/>
    <cellStyle name="Normal 4 5 6 2 3 4" xfId="8241" xr:uid="{774146CE-9BAF-4E91-84A8-0C64BED73924}"/>
    <cellStyle name="Normal 4 5 6 2 3 5" xfId="8242" xr:uid="{D5FA554B-4FC3-4A02-AEBB-A6AE189B3CFA}"/>
    <cellStyle name="Normal 4 5 6 2 4" xfId="8243" xr:uid="{1C41AE90-9DE1-4D1E-8F2E-2B25F0202A4F}"/>
    <cellStyle name="Normal 4 5 6 2 4 2" xfId="8244" xr:uid="{17BEABC9-5B50-4D71-BD11-8A6DF007FB70}"/>
    <cellStyle name="Normal 4 5 6 2 4 3" xfId="8245" xr:uid="{26EC0AB4-4ECC-4A79-980F-7986889416A6}"/>
    <cellStyle name="Normal 4 5 6 2 5" xfId="8246" xr:uid="{18B20A0B-EDD6-4EF5-91BF-15371409365B}"/>
    <cellStyle name="Normal 4 5 6 2 6" xfId="8247" xr:uid="{296D3948-2047-4895-9B0A-ACCD10DB1983}"/>
    <cellStyle name="Normal 4 5 6 2 7" xfId="8248" xr:uid="{4C99A723-FE90-4954-88B4-98CDE412DE0D}"/>
    <cellStyle name="Normal 4 5 6 3" xfId="8249" xr:uid="{B132D66D-C4DB-467C-B702-7FD97F545924}"/>
    <cellStyle name="Normal 4 5 6 3 2" xfId="8250" xr:uid="{9FF3002A-323B-4361-89FC-C9ABA27DD88A}"/>
    <cellStyle name="Normal 4 5 6 3 2 2" xfId="8251" xr:uid="{E6BDE5FB-5B61-4ED5-97C0-F9A86FB86F64}"/>
    <cellStyle name="Normal 4 5 6 3 2 3" xfId="8252" xr:uid="{7C960928-3B13-4958-B3F5-BE57603D9E39}"/>
    <cellStyle name="Normal 4 5 6 3 3" xfId="8253" xr:uid="{50231502-1B10-44B9-BC12-6914C7EB3027}"/>
    <cellStyle name="Normal 4 5 6 3 4" xfId="8254" xr:uid="{34077FA5-CB87-4357-A39C-07B7A8E14C60}"/>
    <cellStyle name="Normal 4 5 6 3 5" xfId="8255" xr:uid="{ED764EF2-2E35-41CC-8512-E1AFCB482147}"/>
    <cellStyle name="Normal 4 5 6 4" xfId="8256" xr:uid="{51FCA681-9F3C-4FB1-AB71-FEB624CF267D}"/>
    <cellStyle name="Normal 4 5 6 4 2" xfId="8257" xr:uid="{921153A5-05A4-4279-A77F-2BEAF4DBD3A0}"/>
    <cellStyle name="Normal 4 5 6 4 2 2" xfId="8258" xr:uid="{9B225D83-24F9-4A16-9B54-1D93D5E2FD64}"/>
    <cellStyle name="Normal 4 5 6 4 2 3" xfId="8259" xr:uid="{80C51D35-7609-47BB-AB42-FC988A842ED8}"/>
    <cellStyle name="Normal 4 5 6 4 3" xfId="8260" xr:uid="{2C91F9BE-B9B1-42C8-8939-4A5C07DDE5E0}"/>
    <cellStyle name="Normal 4 5 6 4 4" xfId="8261" xr:uid="{43E163B8-A375-4B88-A2F5-EB191A8A0993}"/>
    <cellStyle name="Normal 4 5 6 4 5" xfId="8262" xr:uid="{3C3A7FA9-0355-427D-87AC-08FB6BE29CA7}"/>
    <cellStyle name="Normal 4 5 6 5" xfId="8263" xr:uid="{A56071A1-D875-4381-8566-2EF16672359F}"/>
    <cellStyle name="Normal 4 5 6 5 2" xfId="8264" xr:uid="{0F2767E7-EAE7-49A4-9232-90A86F442E15}"/>
    <cellStyle name="Normal 4 5 6 5 3" xfId="8265" xr:uid="{373AD862-9BF1-47FB-8261-596DEBB2F3D6}"/>
    <cellStyle name="Normal 4 5 6 6" xfId="8266" xr:uid="{46B24BAD-B280-4FA7-9483-D96C29457E39}"/>
    <cellStyle name="Normal 4 5 6 7" xfId="8267" xr:uid="{4E31CCE4-5660-46D3-945C-B09B68975F0C}"/>
    <cellStyle name="Normal 4 5 6 8" xfId="8268" xr:uid="{1DD5FA98-CD7B-4704-A842-02A8D834A0F2}"/>
    <cellStyle name="Normal 4 5 7" xfId="8269" xr:uid="{F3F016EF-D1F6-46D3-A0AE-6E887109B3BC}"/>
    <cellStyle name="Normal 4 5 7 2" xfId="8270" xr:uid="{2EFD9682-C953-4C33-B5EE-5B26E6B07CC2}"/>
    <cellStyle name="Normal 4 5 7 2 2" xfId="8271" xr:uid="{29ED66B8-6981-4012-B944-8515E054039C}"/>
    <cellStyle name="Normal 4 5 7 2 2 2" xfId="8272" xr:uid="{4519AFFB-6315-4AB3-9EC5-C653B82AE8F7}"/>
    <cellStyle name="Normal 4 5 7 2 2 3" xfId="8273" xr:uid="{3D5EE7CC-2D96-42C4-AD8B-FC8D146D6A73}"/>
    <cellStyle name="Normal 4 5 7 2 3" xfId="8274" xr:uid="{93B4DE99-47FF-41D1-88A0-48C3B05C449F}"/>
    <cellStyle name="Normal 4 5 7 2 4" xfId="8275" xr:uid="{8BC85D49-FA70-4B9E-9810-C350FEEA1358}"/>
    <cellStyle name="Normal 4 5 7 2 5" xfId="8276" xr:uid="{2BD6997A-210C-4D28-9997-B1A2CB7F40D3}"/>
    <cellStyle name="Normal 4 5 7 3" xfId="8277" xr:uid="{60D2288C-27A7-4C84-9BC8-6A04EAE85E1A}"/>
    <cellStyle name="Normal 4 5 7 3 2" xfId="8278" xr:uid="{E544A3A0-8A9D-4C36-87A7-6BA24C98941B}"/>
    <cellStyle name="Normal 4 5 7 3 2 2" xfId="8279" xr:uid="{ACED87BF-FA94-4D01-8DA0-2BA913ED22FA}"/>
    <cellStyle name="Normal 4 5 7 3 2 3" xfId="8280" xr:uid="{D6D8B0AD-A4AE-4CDB-BB58-D69D0A55A26F}"/>
    <cellStyle name="Normal 4 5 7 3 3" xfId="8281" xr:uid="{E9952FE5-4672-4254-A281-88F421DA0725}"/>
    <cellStyle name="Normal 4 5 7 3 4" xfId="8282" xr:uid="{CCA4B0E0-DEE9-480F-8B8D-EF9890F87241}"/>
    <cellStyle name="Normal 4 5 7 3 5" xfId="8283" xr:uid="{AE61F85D-4830-49AF-9B72-884C936D5AC3}"/>
    <cellStyle name="Normal 4 5 7 4" xfId="8284" xr:uid="{A4EE7F05-7378-4C47-88B5-3DFA326D0C32}"/>
    <cellStyle name="Normal 4 5 7 4 2" xfId="8285" xr:uid="{94B636A1-3D53-48F3-901E-5D11D81C1836}"/>
    <cellStyle name="Normal 4 5 7 4 3" xfId="8286" xr:uid="{F283407A-8CB7-4CA1-8C16-308729B28DC2}"/>
    <cellStyle name="Normal 4 5 7 5" xfId="8287" xr:uid="{926A041F-F2CF-4A50-9802-1039D2B2C4D6}"/>
    <cellStyle name="Normal 4 5 7 6" xfId="8288" xr:uid="{29AF3523-F915-4E00-9FC8-572C966DDC33}"/>
    <cellStyle name="Normal 4 5 7 7" xfId="8289" xr:uid="{750DAD4A-422B-45E8-8E8E-72738ECDF219}"/>
    <cellStyle name="Normal 4 5 8" xfId="8290" xr:uid="{85A71F0C-A21C-46AE-B080-41EBA6169B33}"/>
    <cellStyle name="Normal 4 5 8 2" xfId="8291" xr:uid="{DA4E0F49-D9C8-4310-8C75-6BD1BA544D5B}"/>
    <cellStyle name="Normal 4 5 8 2 2" xfId="8292" xr:uid="{2BEBF315-FD80-4FBF-844A-E796FD6F897D}"/>
    <cellStyle name="Normal 4 5 8 2 2 2" xfId="8293" xr:uid="{978255F1-BE55-4038-9553-AB2474739EA3}"/>
    <cellStyle name="Normal 4 5 8 2 2 3" xfId="8294" xr:uid="{51875A59-E2D4-44AC-97FC-2EFB95D78BC8}"/>
    <cellStyle name="Normal 4 5 8 2 3" xfId="8295" xr:uid="{EACC89BD-477B-443A-90EC-D2A882F13141}"/>
    <cellStyle name="Normal 4 5 8 2 4" xfId="8296" xr:uid="{D6E44EAD-8D76-4E99-B2C2-3F916149A6E0}"/>
    <cellStyle name="Normal 4 5 8 2 5" xfId="8297" xr:uid="{802EEFA6-D88B-46FF-8090-A18A20D15312}"/>
    <cellStyle name="Normal 4 5 8 3" xfId="8298" xr:uid="{013E5696-D5B0-433D-A753-C7716BFED040}"/>
    <cellStyle name="Normal 4 5 8 3 2" xfId="8299" xr:uid="{125BAE3D-8CC8-414B-9627-0025A4779EFA}"/>
    <cellStyle name="Normal 4 5 8 3 2 2" xfId="8300" xr:uid="{1238B890-D368-4476-8B17-2664F775CA9E}"/>
    <cellStyle name="Normal 4 5 8 3 2 3" xfId="8301" xr:uid="{82C3E7F9-88E3-434F-A015-BF24F45EF274}"/>
    <cellStyle name="Normal 4 5 8 3 3" xfId="8302" xr:uid="{BE8A1246-1926-4D9F-BBCD-94E22BEA7C7E}"/>
    <cellStyle name="Normal 4 5 8 3 4" xfId="8303" xr:uid="{3662C59F-F9EE-4907-B18B-049A0F8E2335}"/>
    <cellStyle name="Normal 4 5 8 3 5" xfId="8304" xr:uid="{058CC125-A244-4B83-8489-BE049AA8371F}"/>
    <cellStyle name="Normal 4 5 8 4" xfId="8305" xr:uid="{46671DF0-A820-45ED-A255-AEF34764269F}"/>
    <cellStyle name="Normal 4 5 8 4 2" xfId="8306" xr:uid="{C3690F04-AD23-4599-99A1-ABB5BF3891DC}"/>
    <cellStyle name="Normal 4 5 8 4 3" xfId="8307" xr:uid="{CF4DE24A-741D-43D0-8738-13953A42B336}"/>
    <cellStyle name="Normal 4 5 8 5" xfId="8308" xr:uid="{A2996B4C-4423-4796-8A90-6489ECD37497}"/>
    <cellStyle name="Normal 4 5 8 6" xfId="8309" xr:uid="{459BA323-BFBA-40C6-82B3-2E4872A98FA6}"/>
    <cellStyle name="Normal 4 5 8 7" xfId="8310" xr:uid="{00E1D958-587D-4E54-AF56-4E0A778B44A1}"/>
    <cellStyle name="Normal 4 5 9" xfId="8311" xr:uid="{88BBAE84-4B95-4205-8812-82C78FC82820}"/>
    <cellStyle name="Normal 4 5 9 2" xfId="8312" xr:uid="{DD6E14CD-1294-45BE-B636-195DDB84FD56}"/>
    <cellStyle name="Normal 4 5 9 2 2" xfId="8313" xr:uid="{16C08FEB-A4D2-46AE-B396-2C17C0C887CD}"/>
    <cellStyle name="Normal 4 5 9 2 3" xfId="8314" xr:uid="{54973238-9EA9-448D-83E4-C50B317C068A}"/>
    <cellStyle name="Normal 4 5 9 3" xfId="8315" xr:uid="{86F0BAD8-E154-49F1-A606-171B224157FC}"/>
    <cellStyle name="Normal 4 5 9 4" xfId="8316" xr:uid="{29CC1899-770B-4D41-853F-F7584928C8D2}"/>
    <cellStyle name="Normal 4 5 9 5" xfId="8317" xr:uid="{123A1E75-73AD-4FB6-B2E0-8D89051CD833}"/>
    <cellStyle name="Normal 4 6" xfId="8318" xr:uid="{D391DB61-512D-440B-8F54-F7716C4A2D1D}"/>
    <cellStyle name="Normal 4 6 10" xfId="8319" xr:uid="{8727B1CB-BEE6-44A3-96B3-8F9034D7FF5C}"/>
    <cellStyle name="Normal 4 6 11" xfId="8320" xr:uid="{5AA279ED-CAB0-42A3-BE61-CBABF5496880}"/>
    <cellStyle name="Normal 4 6 12" xfId="8321" xr:uid="{C9701FA7-17D4-45A5-82A9-38907B464667}"/>
    <cellStyle name="Normal 4 6 2" xfId="8322" xr:uid="{FA8D8BA3-9698-4D30-ADB6-030F3712CE5F}"/>
    <cellStyle name="Normal 4 6 2 2" xfId="8323" xr:uid="{62FF1A2F-7BED-421D-9A26-469B4E359D50}"/>
    <cellStyle name="Normal 4 6 2 2 2" xfId="8324" xr:uid="{BBEB1730-29D2-4FC4-91D9-478AF0BEBF7C}"/>
    <cellStyle name="Normal 4 6 2 2 2 2" xfId="8325" xr:uid="{A0683A2C-83FF-4DB6-9AEB-0A7D291C08E0}"/>
    <cellStyle name="Normal 4 6 2 2 2 2 2" xfId="8326" xr:uid="{D6A87045-1AD2-4465-8E1A-513A76927455}"/>
    <cellStyle name="Normal 4 6 2 2 2 2 2 2" xfId="8327" xr:uid="{53BBCC3D-B6F3-4784-BD05-DFDC4E458683}"/>
    <cellStyle name="Normal 4 6 2 2 2 2 2 3" xfId="8328" xr:uid="{37A1D03C-55FC-4FF4-AA69-9CA100C8E16E}"/>
    <cellStyle name="Normal 4 6 2 2 2 2 3" xfId="8329" xr:uid="{5787879A-F3F9-4400-895A-5CEDA7F54ED9}"/>
    <cellStyle name="Normal 4 6 2 2 2 2 4" xfId="8330" xr:uid="{88B5F9B0-332E-4B57-B29C-700E3A5965A4}"/>
    <cellStyle name="Normal 4 6 2 2 2 2 5" xfId="8331" xr:uid="{0D8ECCD5-8842-4091-9B4A-7D8447620F08}"/>
    <cellStyle name="Normal 4 6 2 2 2 3" xfId="8332" xr:uid="{5CAFD340-CA80-469E-B2C8-724C0AD4357E}"/>
    <cellStyle name="Normal 4 6 2 2 2 3 2" xfId="8333" xr:uid="{7EE45E9E-98D7-41EA-A907-F28ED7FD4543}"/>
    <cellStyle name="Normal 4 6 2 2 2 3 2 2" xfId="8334" xr:uid="{1F55390A-C686-4A43-9FD4-33A13281C5C8}"/>
    <cellStyle name="Normal 4 6 2 2 2 3 2 3" xfId="8335" xr:uid="{283B49EE-7372-4CBD-92D9-598DEFD8F7FA}"/>
    <cellStyle name="Normal 4 6 2 2 2 3 3" xfId="8336" xr:uid="{8859E676-3ABE-4131-8B63-47ACAE253106}"/>
    <cellStyle name="Normal 4 6 2 2 2 3 4" xfId="8337" xr:uid="{EFE5F5CB-9B43-440F-BA8F-565073449B9E}"/>
    <cellStyle name="Normal 4 6 2 2 2 3 5" xfId="8338" xr:uid="{B219D14F-3F86-4833-812C-3DFE4165A3C0}"/>
    <cellStyle name="Normal 4 6 2 2 2 4" xfId="8339" xr:uid="{73AC486C-6BC2-40A5-B58A-3F4C47DE3996}"/>
    <cellStyle name="Normal 4 6 2 2 2 4 2" xfId="8340" xr:uid="{AC4FDE58-B5E5-4AC5-BC7E-95427FD36935}"/>
    <cellStyle name="Normal 4 6 2 2 2 4 3" xfId="8341" xr:uid="{469C9E3E-1FAB-4337-B72B-1041AEAE987B}"/>
    <cellStyle name="Normal 4 6 2 2 2 5" xfId="8342" xr:uid="{D7F438D0-5048-4DCE-8682-777B376C12A1}"/>
    <cellStyle name="Normal 4 6 2 2 2 6" xfId="8343" xr:uid="{F328EA41-AEA4-42B0-AFB5-C01F7B610937}"/>
    <cellStyle name="Normal 4 6 2 2 2 7" xfId="8344" xr:uid="{32D2B256-9581-42DE-B1E4-F72D26EC222A}"/>
    <cellStyle name="Normal 4 6 2 2 3" xfId="8345" xr:uid="{A400C1AC-04E0-4541-9139-707C054A3063}"/>
    <cellStyle name="Normal 4 6 2 2 3 2" xfId="8346" xr:uid="{6A1FC002-ADD9-408B-AE12-75D59F82FDB0}"/>
    <cellStyle name="Normal 4 6 2 2 3 2 2" xfId="8347" xr:uid="{CDDA072F-8C2D-455E-AA2A-ACEDFDFB8E22}"/>
    <cellStyle name="Normal 4 6 2 2 3 2 3" xfId="8348" xr:uid="{0B764FA7-2396-4016-957A-AABB8A8394E3}"/>
    <cellStyle name="Normal 4 6 2 2 3 3" xfId="8349" xr:uid="{F5C43C7C-0860-4F5D-9743-D7F41A9E476C}"/>
    <cellStyle name="Normal 4 6 2 2 3 4" xfId="8350" xr:uid="{44EA142E-4636-4DEB-A9C8-B0B0D8DCE93C}"/>
    <cellStyle name="Normal 4 6 2 2 3 5" xfId="8351" xr:uid="{949D418E-49AD-42EF-A9F8-138D6DB36AAD}"/>
    <cellStyle name="Normal 4 6 2 2 4" xfId="8352" xr:uid="{6979F21E-CF3A-4D44-ABAD-DA90484DDCB6}"/>
    <cellStyle name="Normal 4 6 2 2 4 2" xfId="8353" xr:uid="{4550FB12-4C39-47D9-948D-1B0189CB59EA}"/>
    <cellStyle name="Normal 4 6 2 2 4 2 2" xfId="8354" xr:uid="{E10E385B-B2C7-4CDB-B99B-DFD996A14AB6}"/>
    <cellStyle name="Normal 4 6 2 2 4 2 3" xfId="8355" xr:uid="{4FC8C8B7-59E1-4097-A979-D8541EA17CDF}"/>
    <cellStyle name="Normal 4 6 2 2 4 3" xfId="8356" xr:uid="{1009D57E-E3AE-4419-B507-02D9C6D94B51}"/>
    <cellStyle name="Normal 4 6 2 2 4 4" xfId="8357" xr:uid="{9FD617E0-78BE-4B66-AC01-3AAE8E0D4AE8}"/>
    <cellStyle name="Normal 4 6 2 2 4 5" xfId="8358" xr:uid="{37BAA3D2-0C4B-4749-ACC2-E460EC28270D}"/>
    <cellStyle name="Normal 4 6 2 2 5" xfId="8359" xr:uid="{9DFD17ED-DFD1-43A6-A747-5019046537EF}"/>
    <cellStyle name="Normal 4 6 2 2 5 2" xfId="8360" xr:uid="{CAA11E8D-3529-4029-A465-F9D8853C48F8}"/>
    <cellStyle name="Normal 4 6 2 2 5 3" xfId="8361" xr:uid="{A75EDBEE-9521-4A4C-9716-383CF0B0D9D7}"/>
    <cellStyle name="Normal 4 6 2 2 6" xfId="8362" xr:uid="{B704937E-A261-4DE1-BDE6-E38B8E3DA9CE}"/>
    <cellStyle name="Normal 4 6 2 2 7" xfId="8363" xr:uid="{5C1EA81D-8D82-42DF-895A-0B9663AE72EE}"/>
    <cellStyle name="Normal 4 6 2 2 8" xfId="8364" xr:uid="{893C72F9-1E39-43DE-93EA-1955EF01AB52}"/>
    <cellStyle name="Normal 4 6 2 3" xfId="8365" xr:uid="{01C78AAC-A4F6-4A37-BCF7-D0E135EE4F50}"/>
    <cellStyle name="Normal 4 6 2 3 2" xfId="8366" xr:uid="{4A2FDB3C-AE9A-4A3C-B3CC-4FCD7A393484}"/>
    <cellStyle name="Normal 4 6 2 3 2 2" xfId="8367" xr:uid="{FF355C86-7F90-4736-9FA3-94A5F5AC3B83}"/>
    <cellStyle name="Normal 4 6 2 3 2 2 2" xfId="8368" xr:uid="{5D859F75-F92C-40DB-9560-B5618039EA50}"/>
    <cellStyle name="Normal 4 6 2 3 2 2 3" xfId="8369" xr:uid="{E521A3A4-DA41-49E5-A77C-95101CA7F641}"/>
    <cellStyle name="Normal 4 6 2 3 2 3" xfId="8370" xr:uid="{7B9F241E-C168-4930-A653-CC57EA255D12}"/>
    <cellStyle name="Normal 4 6 2 3 2 4" xfId="8371" xr:uid="{643B141F-533C-4784-B183-C289DC8F89CA}"/>
    <cellStyle name="Normal 4 6 2 3 2 5" xfId="8372" xr:uid="{D4B6E29D-3D7A-408B-A766-D0052BE38DDC}"/>
    <cellStyle name="Normal 4 6 2 3 3" xfId="8373" xr:uid="{2E469DBA-813F-488A-8DD8-5FE62EB570CF}"/>
    <cellStyle name="Normal 4 6 2 3 3 2" xfId="8374" xr:uid="{8388DC96-429F-4885-8594-628F0120191B}"/>
    <cellStyle name="Normal 4 6 2 3 3 2 2" xfId="8375" xr:uid="{4F20D9D9-8517-4DF3-BF0A-047C2E3BBB08}"/>
    <cellStyle name="Normal 4 6 2 3 3 2 3" xfId="8376" xr:uid="{B6D1A33F-5E61-44D5-8DD0-6FC51A8596FE}"/>
    <cellStyle name="Normal 4 6 2 3 3 3" xfId="8377" xr:uid="{C156B65D-B6C2-4CBD-84EF-EE96AB64DFEE}"/>
    <cellStyle name="Normal 4 6 2 3 3 4" xfId="8378" xr:uid="{08CCC66F-38A3-40AA-95C5-BE91E0CC3833}"/>
    <cellStyle name="Normal 4 6 2 3 3 5" xfId="8379" xr:uid="{9E10C3E2-FCDB-49F9-A2F8-D9EA991E15BB}"/>
    <cellStyle name="Normal 4 6 2 3 4" xfId="8380" xr:uid="{85DD3791-707D-4C44-979E-4964EEC2B98F}"/>
    <cellStyle name="Normal 4 6 2 3 4 2" xfId="8381" xr:uid="{4FC834DC-14B0-4076-9BEB-61E0D71D4995}"/>
    <cellStyle name="Normal 4 6 2 3 4 3" xfId="8382" xr:uid="{0360947B-9E7D-4A84-9634-7D982E23B18C}"/>
    <cellStyle name="Normal 4 6 2 3 5" xfId="8383" xr:uid="{5CCA8950-600B-482D-98DF-6309A4667265}"/>
    <cellStyle name="Normal 4 6 2 3 6" xfId="8384" xr:uid="{3D049DF2-3E0E-4273-A2A8-F77FE25BF494}"/>
    <cellStyle name="Normal 4 6 2 3 7" xfId="8385" xr:uid="{4988B4B3-8ECD-4327-B856-60DBA17289BB}"/>
    <cellStyle name="Normal 4 6 2 4" xfId="8386" xr:uid="{E9260D64-E066-497A-A4B1-FB0731129180}"/>
    <cellStyle name="Normal 4 6 2 4 2" xfId="8387" xr:uid="{82456594-41A1-4CAC-A550-4F4A6E60914F}"/>
    <cellStyle name="Normal 4 6 2 4 2 2" xfId="8388" xr:uid="{EE7551E0-02EB-4215-82C3-4EB6FB8D71D8}"/>
    <cellStyle name="Normal 4 6 2 4 2 3" xfId="8389" xr:uid="{A6881987-A027-4A47-8B31-EFF277189920}"/>
    <cellStyle name="Normal 4 6 2 4 3" xfId="8390" xr:uid="{D334B1B9-2917-4766-9C7C-9B2F95B523A2}"/>
    <cellStyle name="Normal 4 6 2 4 4" xfId="8391" xr:uid="{854A236C-C725-4BB1-86D3-244736DD1A6D}"/>
    <cellStyle name="Normal 4 6 2 4 5" xfId="8392" xr:uid="{B7E39BE1-A65A-424C-A6D8-5C709EF95488}"/>
    <cellStyle name="Normal 4 6 2 5" xfId="8393" xr:uid="{09EABF02-5506-4652-B170-E610CDE6931E}"/>
    <cellStyle name="Normal 4 6 2 5 2" xfId="8394" xr:uid="{7B146D87-CB03-4E46-B559-0B69E05E49D3}"/>
    <cellStyle name="Normal 4 6 2 5 2 2" xfId="8395" xr:uid="{07B146EB-C369-4499-BDA4-D111ED921710}"/>
    <cellStyle name="Normal 4 6 2 5 2 3" xfId="8396" xr:uid="{ECA0BA5D-BD10-454C-9BD9-6431E37A1511}"/>
    <cellStyle name="Normal 4 6 2 5 3" xfId="8397" xr:uid="{09683AEA-3546-469E-8E33-375DF3772ECF}"/>
    <cellStyle name="Normal 4 6 2 5 4" xfId="8398" xr:uid="{0E4C08C7-B6D4-4640-AC77-BD69DEF8503A}"/>
    <cellStyle name="Normal 4 6 2 5 5" xfId="8399" xr:uid="{2B489816-F9D4-4DDB-8CEE-98338D6E659D}"/>
    <cellStyle name="Normal 4 6 2 6" xfId="8400" xr:uid="{4CD453BE-6909-4D6E-8CCA-69A253499DFB}"/>
    <cellStyle name="Normal 4 6 2 6 2" xfId="8401" xr:uid="{65FF0353-B00C-4CDE-A53D-38FB99F3DC4B}"/>
    <cellStyle name="Normal 4 6 2 6 3" xfId="8402" xr:uid="{DA8C1DB6-2385-457F-8685-3C8C69300833}"/>
    <cellStyle name="Normal 4 6 2 7" xfId="8403" xr:uid="{B499FF7B-56A1-4E40-8932-67228BBA11C5}"/>
    <cellStyle name="Normal 4 6 2 8" xfId="8404" xr:uid="{EAD9D2A7-5D2C-4C83-97FF-8DC8DC550EF4}"/>
    <cellStyle name="Normal 4 6 2 9" xfId="8405" xr:uid="{8A2CF12F-56D2-4FB1-9AFB-A9A100A58AE8}"/>
    <cellStyle name="Normal 4 6 3" xfId="8406" xr:uid="{FBD4689D-4089-43A0-B06B-163C19EDF624}"/>
    <cellStyle name="Normal 4 6 3 2" xfId="8407" xr:uid="{034D63B8-F171-4DFB-9A5B-F2C3EFF11889}"/>
    <cellStyle name="Normal 4 6 3 2 2" xfId="8408" xr:uid="{7F491C4C-8C70-457C-9B0F-C76E6BE03988}"/>
    <cellStyle name="Normal 4 6 3 2 2 2" xfId="8409" xr:uid="{AB767DF1-23DD-4C34-8B28-9D0665EA6816}"/>
    <cellStyle name="Normal 4 6 3 2 2 2 2" xfId="8410" xr:uid="{6E28C003-C4A3-4458-893E-A7B6E868D61B}"/>
    <cellStyle name="Normal 4 6 3 2 2 2 2 2" xfId="8411" xr:uid="{90B71153-9C8B-4441-91A1-8E0D47708383}"/>
    <cellStyle name="Normal 4 6 3 2 2 2 2 3" xfId="8412" xr:uid="{8B49C317-D9B6-4A7F-A52F-022066CA643B}"/>
    <cellStyle name="Normal 4 6 3 2 2 2 3" xfId="8413" xr:uid="{59553E32-F14C-4E6B-8789-CA94AA256512}"/>
    <cellStyle name="Normal 4 6 3 2 2 2 4" xfId="8414" xr:uid="{6D88581F-C554-421C-B75B-F7B6484ED8B9}"/>
    <cellStyle name="Normal 4 6 3 2 2 2 5" xfId="8415" xr:uid="{FA5BB846-5AB9-424D-873B-0742751E8C48}"/>
    <cellStyle name="Normal 4 6 3 2 2 3" xfId="8416" xr:uid="{D429E6F2-7488-4EFE-8EC4-265789419B19}"/>
    <cellStyle name="Normal 4 6 3 2 2 3 2" xfId="8417" xr:uid="{9103B031-126A-4410-8FEE-D5FC69633C32}"/>
    <cellStyle name="Normal 4 6 3 2 2 3 2 2" xfId="8418" xr:uid="{AE325DC5-C736-414A-A9AD-D5E9ADFF0288}"/>
    <cellStyle name="Normal 4 6 3 2 2 3 2 3" xfId="8419" xr:uid="{D7E84FA1-E7DE-4C2B-8C6D-C56850264A35}"/>
    <cellStyle name="Normal 4 6 3 2 2 3 3" xfId="8420" xr:uid="{220CC322-A4D1-485F-88DA-08CD1074848B}"/>
    <cellStyle name="Normal 4 6 3 2 2 3 4" xfId="8421" xr:uid="{FE773C78-284B-4647-89E4-E667A69BAC98}"/>
    <cellStyle name="Normal 4 6 3 2 2 3 5" xfId="8422" xr:uid="{EEF2D95F-41A2-4356-9CBE-87B97E7E288B}"/>
    <cellStyle name="Normal 4 6 3 2 2 4" xfId="8423" xr:uid="{FF07C224-18D9-4F07-A638-A3F534732BDD}"/>
    <cellStyle name="Normal 4 6 3 2 2 4 2" xfId="8424" xr:uid="{2386414C-329B-47AF-8C4E-BE150A1760AB}"/>
    <cellStyle name="Normal 4 6 3 2 2 4 3" xfId="8425" xr:uid="{59B0DEA7-4D8D-4CCD-A8DB-3C82F5F26DFA}"/>
    <cellStyle name="Normal 4 6 3 2 2 5" xfId="8426" xr:uid="{9A0AC8DE-7EF9-49D6-A4CD-E3282CA7A216}"/>
    <cellStyle name="Normal 4 6 3 2 2 6" xfId="8427" xr:uid="{C269823D-839C-4C96-AE78-785BA5D05B86}"/>
    <cellStyle name="Normal 4 6 3 2 2 7" xfId="8428" xr:uid="{A648BF2E-2AC3-4EC3-ACB9-8EECBD8A7679}"/>
    <cellStyle name="Normal 4 6 3 2 3" xfId="8429" xr:uid="{1742ADD9-3E47-47F3-8930-D56CA432B46C}"/>
    <cellStyle name="Normal 4 6 3 2 3 2" xfId="8430" xr:uid="{57EF7E4B-652B-46ED-A772-9B259D4AC1B1}"/>
    <cellStyle name="Normal 4 6 3 2 3 2 2" xfId="8431" xr:uid="{F005EF1A-B683-4A86-A11C-65A3DD5D5E63}"/>
    <cellStyle name="Normal 4 6 3 2 3 2 3" xfId="8432" xr:uid="{27F9DAD5-7D20-42E1-80DD-2811935489D2}"/>
    <cellStyle name="Normal 4 6 3 2 3 3" xfId="8433" xr:uid="{9DCACB2F-0294-4F0B-B649-FA7230E1541D}"/>
    <cellStyle name="Normal 4 6 3 2 3 4" xfId="8434" xr:uid="{022A2FB3-7680-45D9-9FD6-46A7199A9031}"/>
    <cellStyle name="Normal 4 6 3 2 3 5" xfId="8435" xr:uid="{18F8D63C-67CB-4D1A-B83A-13F81F87A1BF}"/>
    <cellStyle name="Normal 4 6 3 2 4" xfId="8436" xr:uid="{3524C9E8-1259-4232-9DE6-D79CD719D94E}"/>
    <cellStyle name="Normal 4 6 3 2 4 2" xfId="8437" xr:uid="{4FF92E9F-DE93-4E17-97D1-739C0AE4E4B8}"/>
    <cellStyle name="Normal 4 6 3 2 4 2 2" xfId="8438" xr:uid="{3D61890C-222B-4AF4-BE32-72B8E61302A4}"/>
    <cellStyle name="Normal 4 6 3 2 4 2 3" xfId="8439" xr:uid="{6C924581-5113-47A9-B855-C3B5CE748A5E}"/>
    <cellStyle name="Normal 4 6 3 2 4 3" xfId="8440" xr:uid="{0D692380-6ADE-41BD-BE6B-E3DC0CEC1F6E}"/>
    <cellStyle name="Normal 4 6 3 2 4 4" xfId="8441" xr:uid="{186A263B-6C9D-4271-A233-00EA6A37CAF2}"/>
    <cellStyle name="Normal 4 6 3 2 4 5" xfId="8442" xr:uid="{B60E3F40-0750-4871-A718-B03BD59B1420}"/>
    <cellStyle name="Normal 4 6 3 2 5" xfId="8443" xr:uid="{045682BE-2583-49A8-918D-3F47C6B49780}"/>
    <cellStyle name="Normal 4 6 3 2 5 2" xfId="8444" xr:uid="{7993202F-C63B-480F-B5EB-80D5C97C897F}"/>
    <cellStyle name="Normal 4 6 3 2 5 3" xfId="8445" xr:uid="{C81FA3B7-6F10-4EF8-9DF6-2693E1409966}"/>
    <cellStyle name="Normal 4 6 3 2 6" xfId="8446" xr:uid="{CD71621A-C798-4F89-A84C-4EE7DC0032B4}"/>
    <cellStyle name="Normal 4 6 3 2 7" xfId="8447" xr:uid="{4BFCF716-4832-461A-8115-D2A0F343F5AD}"/>
    <cellStyle name="Normal 4 6 3 2 8" xfId="8448" xr:uid="{E4A6D999-60AA-413F-BE83-53EEAE76DAA0}"/>
    <cellStyle name="Normal 4 6 3 3" xfId="8449" xr:uid="{16918BD1-CDCF-4468-8F97-8D622C1B51C4}"/>
    <cellStyle name="Normal 4 6 3 3 2" xfId="8450" xr:uid="{3B7A6DBD-2D12-42F2-82B0-67F5DFB67194}"/>
    <cellStyle name="Normal 4 6 3 3 2 2" xfId="8451" xr:uid="{A324EAD9-2953-4966-A475-90A8CFEEE1A6}"/>
    <cellStyle name="Normal 4 6 3 3 2 2 2" xfId="8452" xr:uid="{29162168-56FF-46EE-87D3-84FD286A9408}"/>
    <cellStyle name="Normal 4 6 3 3 2 2 3" xfId="8453" xr:uid="{F46A91F9-82FC-4A49-83DF-DF3C95A3479C}"/>
    <cellStyle name="Normal 4 6 3 3 2 3" xfId="8454" xr:uid="{62C28708-DBF8-4292-8AF1-CD6F82424826}"/>
    <cellStyle name="Normal 4 6 3 3 2 4" xfId="8455" xr:uid="{17503EA6-808F-467E-9728-5F40CE37A95C}"/>
    <cellStyle name="Normal 4 6 3 3 2 5" xfId="8456" xr:uid="{5FF0B56B-5D5F-410B-A3AB-0BDECB618D84}"/>
    <cellStyle name="Normal 4 6 3 3 3" xfId="8457" xr:uid="{0F2F2A0B-2A70-4EB0-9CE3-F7E33B3D5C55}"/>
    <cellStyle name="Normal 4 6 3 3 3 2" xfId="8458" xr:uid="{17E61A37-2EC0-4C71-BB83-7A37E832D42B}"/>
    <cellStyle name="Normal 4 6 3 3 3 2 2" xfId="8459" xr:uid="{5357ABDD-EE53-4B13-AF62-4CBDBE9AC20C}"/>
    <cellStyle name="Normal 4 6 3 3 3 2 3" xfId="8460" xr:uid="{DA196C3D-DE6B-4B3A-947D-01E851C99A3D}"/>
    <cellStyle name="Normal 4 6 3 3 3 3" xfId="8461" xr:uid="{E28D78EB-5E9B-47F2-91BA-47B3147B9562}"/>
    <cellStyle name="Normal 4 6 3 3 3 4" xfId="8462" xr:uid="{8BB089DC-9794-450D-8652-0C78C0B6D7B7}"/>
    <cellStyle name="Normal 4 6 3 3 3 5" xfId="8463" xr:uid="{CFE5F512-175A-462F-8A90-72F50860F93E}"/>
    <cellStyle name="Normal 4 6 3 3 4" xfId="8464" xr:uid="{19206778-33C3-401A-A4DE-32C18BB60281}"/>
    <cellStyle name="Normal 4 6 3 3 4 2" xfId="8465" xr:uid="{5C5D3043-48AE-44E2-B7A9-0969CD2865A4}"/>
    <cellStyle name="Normal 4 6 3 3 4 3" xfId="8466" xr:uid="{6A8F15D1-73F3-448A-A2A7-CDE8632ED4AC}"/>
    <cellStyle name="Normal 4 6 3 3 5" xfId="8467" xr:uid="{AA88C10A-7EF8-4724-9398-E1C6FA8CCA62}"/>
    <cellStyle name="Normal 4 6 3 3 6" xfId="8468" xr:uid="{ABDA9113-FA35-4671-A3E5-3CA8CD7CA606}"/>
    <cellStyle name="Normal 4 6 3 3 7" xfId="8469" xr:uid="{865F122D-1822-41D4-8182-D501EC1D1988}"/>
    <cellStyle name="Normal 4 6 3 4" xfId="8470" xr:uid="{7B38200A-10EC-421B-8AA6-352ECB12EBF8}"/>
    <cellStyle name="Normal 4 6 3 4 2" xfId="8471" xr:uid="{4B804C78-F872-4F93-BE36-E0306EBEB7D5}"/>
    <cellStyle name="Normal 4 6 3 4 2 2" xfId="8472" xr:uid="{3E03A4E8-9546-4387-A51C-11AD5FAF2D0B}"/>
    <cellStyle name="Normal 4 6 3 4 2 3" xfId="8473" xr:uid="{99B8F315-CF09-4B54-8CFD-62FF87F558E0}"/>
    <cellStyle name="Normal 4 6 3 4 3" xfId="8474" xr:uid="{E5CFD955-C615-4DCA-B36A-C0C19CF1AB15}"/>
    <cellStyle name="Normal 4 6 3 4 4" xfId="8475" xr:uid="{EDC83BAC-1062-478F-9830-069AE9B8DFFA}"/>
    <cellStyle name="Normal 4 6 3 4 5" xfId="8476" xr:uid="{2E54B5F4-1477-4060-A44D-97AB65C30CB1}"/>
    <cellStyle name="Normal 4 6 3 5" xfId="8477" xr:uid="{F4176169-FFD9-4020-838F-09F758BBCE81}"/>
    <cellStyle name="Normal 4 6 3 5 2" xfId="8478" xr:uid="{9374B142-5E09-4AC5-87DE-2ED2C66D4502}"/>
    <cellStyle name="Normal 4 6 3 5 2 2" xfId="8479" xr:uid="{603AB334-E184-48B2-8181-58E74C4ED8C6}"/>
    <cellStyle name="Normal 4 6 3 5 2 3" xfId="8480" xr:uid="{32060CE7-67BE-4BB3-B3B6-A1A84F35FD43}"/>
    <cellStyle name="Normal 4 6 3 5 3" xfId="8481" xr:uid="{E762EF04-9A1D-4DF0-BD72-D8F1626F0EA1}"/>
    <cellStyle name="Normal 4 6 3 5 4" xfId="8482" xr:uid="{903732A5-B47E-44D9-976D-F3079CB05CFF}"/>
    <cellStyle name="Normal 4 6 3 5 5" xfId="8483" xr:uid="{D7FC0649-51C5-435A-B560-D3FE70A618C7}"/>
    <cellStyle name="Normal 4 6 3 6" xfId="8484" xr:uid="{BE1DCA96-BE26-4747-A23F-054BBB8FF13C}"/>
    <cellStyle name="Normal 4 6 3 6 2" xfId="8485" xr:uid="{01F6D5C4-9FE7-4D85-90BE-DEAE358E6472}"/>
    <cellStyle name="Normal 4 6 3 6 3" xfId="8486" xr:uid="{3868D81B-D20F-45E2-9386-66180D5ED9A5}"/>
    <cellStyle name="Normal 4 6 3 7" xfId="8487" xr:uid="{C2A90992-D66D-4B4C-B068-DC147D369DE1}"/>
    <cellStyle name="Normal 4 6 3 8" xfId="8488" xr:uid="{D2CFD0D0-DCEC-4C8E-9900-EA8405773FFC}"/>
    <cellStyle name="Normal 4 6 3 9" xfId="8489" xr:uid="{BCB63E6C-EFD5-47F5-9771-78274F96248E}"/>
    <cellStyle name="Normal 4 6 4" xfId="8490" xr:uid="{B8C8C8B2-35A1-4A24-BA83-4DD5ECE78A64}"/>
    <cellStyle name="Normal 4 6 4 2" xfId="8491" xr:uid="{B9E3D4FA-3205-4EDC-8913-DBA542328473}"/>
    <cellStyle name="Normal 4 6 4 2 2" xfId="8492" xr:uid="{761498DE-4123-4D19-8E3D-41B6FDBDB646}"/>
    <cellStyle name="Normal 4 6 4 2 2 2" xfId="8493" xr:uid="{49078193-5F3F-42C1-9D56-C57686AB9E2F}"/>
    <cellStyle name="Normal 4 6 4 2 2 2 2" xfId="8494" xr:uid="{865D52D9-F2A8-4154-B39A-48D091E08DF3}"/>
    <cellStyle name="Normal 4 6 4 2 2 2 2 2" xfId="8495" xr:uid="{5A364003-E3ED-49AF-ADF0-0CBA346E42B1}"/>
    <cellStyle name="Normal 4 6 4 2 2 2 2 3" xfId="8496" xr:uid="{882940CA-43D2-4F78-9B9D-B6CDD295965C}"/>
    <cellStyle name="Normal 4 6 4 2 2 2 3" xfId="8497" xr:uid="{9133C67C-D14A-4487-91C7-BCAD97F168C3}"/>
    <cellStyle name="Normal 4 6 4 2 2 2 4" xfId="8498" xr:uid="{BAB3C305-5398-45E6-8E72-7458CDF27385}"/>
    <cellStyle name="Normal 4 6 4 2 2 2 5" xfId="8499" xr:uid="{48E2134F-8264-4FDF-B852-2C33E0D52C81}"/>
    <cellStyle name="Normal 4 6 4 2 2 3" xfId="8500" xr:uid="{1875FD72-D354-4CBD-AABD-010D6F8F469C}"/>
    <cellStyle name="Normal 4 6 4 2 2 3 2" xfId="8501" xr:uid="{DF301560-286E-4988-9F2B-498EE8727A2A}"/>
    <cellStyle name="Normal 4 6 4 2 2 3 2 2" xfId="8502" xr:uid="{EAB18821-3DB9-4D57-94FC-912FDB0C84BE}"/>
    <cellStyle name="Normal 4 6 4 2 2 3 2 3" xfId="8503" xr:uid="{CE1D75D8-CEEC-4549-8372-74968E518A6D}"/>
    <cellStyle name="Normal 4 6 4 2 2 3 3" xfId="8504" xr:uid="{169C65C8-0B68-4306-AF8A-581095F447FC}"/>
    <cellStyle name="Normal 4 6 4 2 2 3 4" xfId="8505" xr:uid="{3149FDC2-8B9D-4BA5-8CD4-B40F04D1341B}"/>
    <cellStyle name="Normal 4 6 4 2 2 3 5" xfId="8506" xr:uid="{4BB950A2-6005-4D9C-9C3C-01D61807068C}"/>
    <cellStyle name="Normal 4 6 4 2 2 4" xfId="8507" xr:uid="{FE9FC749-DB56-4396-AFF7-91CD1A0E66C9}"/>
    <cellStyle name="Normal 4 6 4 2 2 4 2" xfId="8508" xr:uid="{EEF39AB8-CDF1-4663-A366-AD3CB208319C}"/>
    <cellStyle name="Normal 4 6 4 2 2 4 3" xfId="8509" xr:uid="{1B1468BE-1DAD-47F3-9185-C7B08F126585}"/>
    <cellStyle name="Normal 4 6 4 2 2 5" xfId="8510" xr:uid="{6FFEC720-C0B8-42F2-BF49-FA8FD7B8083B}"/>
    <cellStyle name="Normal 4 6 4 2 2 6" xfId="8511" xr:uid="{6DD3C218-DF91-4C97-8BD9-EF3365F98012}"/>
    <cellStyle name="Normal 4 6 4 2 2 7" xfId="8512" xr:uid="{7BC0302C-B240-40F1-879C-AA722367819E}"/>
    <cellStyle name="Normal 4 6 4 2 3" xfId="8513" xr:uid="{0D371288-6934-469B-9C31-8B2133F5BE4A}"/>
    <cellStyle name="Normal 4 6 4 2 3 2" xfId="8514" xr:uid="{A8C5D15A-9957-4B8D-814F-C2A6599CAB77}"/>
    <cellStyle name="Normal 4 6 4 2 3 2 2" xfId="8515" xr:uid="{6145A794-B109-4BA3-817E-D1C6ACFBCD0C}"/>
    <cellStyle name="Normal 4 6 4 2 3 2 3" xfId="8516" xr:uid="{55902A14-BB22-43B0-8870-68A2CD066AE3}"/>
    <cellStyle name="Normal 4 6 4 2 3 3" xfId="8517" xr:uid="{710DFC6F-F296-4306-94D4-D229DFD2B14F}"/>
    <cellStyle name="Normal 4 6 4 2 3 4" xfId="8518" xr:uid="{E00B6D12-023C-413A-B15F-19A30D8669D9}"/>
    <cellStyle name="Normal 4 6 4 2 3 5" xfId="8519" xr:uid="{9683453F-3702-475F-8EB6-F49E24D6712B}"/>
    <cellStyle name="Normal 4 6 4 2 4" xfId="8520" xr:uid="{E84A5912-9224-421C-9446-713157E9FC41}"/>
    <cellStyle name="Normal 4 6 4 2 4 2" xfId="8521" xr:uid="{31101C7E-6587-43DD-B683-E5D21AFD240F}"/>
    <cellStyle name="Normal 4 6 4 2 4 2 2" xfId="8522" xr:uid="{712BBE41-627C-42A2-9FA6-A206A827FD3E}"/>
    <cellStyle name="Normal 4 6 4 2 4 2 3" xfId="8523" xr:uid="{02BA5CEE-50FD-4851-8684-9017F6869A6E}"/>
    <cellStyle name="Normal 4 6 4 2 4 3" xfId="8524" xr:uid="{BCF93E22-C178-4B58-9504-D8989CC6C95B}"/>
    <cellStyle name="Normal 4 6 4 2 4 4" xfId="8525" xr:uid="{CA917B42-2B00-483E-8F79-C3D647850354}"/>
    <cellStyle name="Normal 4 6 4 2 4 5" xfId="8526" xr:uid="{35978905-006D-4A6C-8F65-0B4510745F70}"/>
    <cellStyle name="Normal 4 6 4 2 5" xfId="8527" xr:uid="{CAE4A5AC-110C-4FEE-8031-EB5E2C09D78B}"/>
    <cellStyle name="Normal 4 6 4 2 5 2" xfId="8528" xr:uid="{2154D231-2E3A-49F6-BE3B-74C7502739A6}"/>
    <cellStyle name="Normal 4 6 4 2 5 3" xfId="8529" xr:uid="{A53DD610-21F5-425B-ACBF-D4F3F938D0A4}"/>
    <cellStyle name="Normal 4 6 4 2 6" xfId="8530" xr:uid="{B6C0FC2E-9D99-48D4-B8F4-C3523A4AE482}"/>
    <cellStyle name="Normal 4 6 4 2 7" xfId="8531" xr:uid="{0B74153A-0DBF-4964-A44E-D90E8FD23E27}"/>
    <cellStyle name="Normal 4 6 4 2 8" xfId="8532" xr:uid="{AD7ADD83-4A0D-4F62-A618-4931B635B180}"/>
    <cellStyle name="Normal 4 6 4 3" xfId="8533" xr:uid="{E4DFA21F-C17D-40FF-928F-F652A13EB231}"/>
    <cellStyle name="Normal 4 6 4 3 2" xfId="8534" xr:uid="{B815ECD9-A7CB-4051-9138-AF8BA2891BC8}"/>
    <cellStyle name="Normal 4 6 4 3 2 2" xfId="8535" xr:uid="{517B2EC2-B18A-4DB6-A63B-9C7F36D48E23}"/>
    <cellStyle name="Normal 4 6 4 3 2 2 2" xfId="8536" xr:uid="{D3AF0C8B-D3DF-4E3B-979A-3CD86DA274F2}"/>
    <cellStyle name="Normal 4 6 4 3 2 2 3" xfId="8537" xr:uid="{62A97456-6114-4A7F-AD5F-2B571FF25757}"/>
    <cellStyle name="Normal 4 6 4 3 2 3" xfId="8538" xr:uid="{93252F36-A5E2-4977-9F02-CC7D5D023029}"/>
    <cellStyle name="Normal 4 6 4 3 2 4" xfId="8539" xr:uid="{76FD4002-15D5-4C47-ACBA-24929A238FE0}"/>
    <cellStyle name="Normal 4 6 4 3 2 5" xfId="8540" xr:uid="{E4F61004-B756-407A-B36F-3028451FF51A}"/>
    <cellStyle name="Normal 4 6 4 3 3" xfId="8541" xr:uid="{C299C4A5-1B04-4787-940A-327E8DFFBC33}"/>
    <cellStyle name="Normal 4 6 4 3 3 2" xfId="8542" xr:uid="{5869C81D-4B49-4698-9489-84B7D2CBD4A8}"/>
    <cellStyle name="Normal 4 6 4 3 3 2 2" xfId="8543" xr:uid="{5690BB5A-823B-4DC1-8A73-ED5E0D6CDB0D}"/>
    <cellStyle name="Normal 4 6 4 3 3 2 3" xfId="8544" xr:uid="{542BAD85-5DCC-4C81-92C8-AE8331536536}"/>
    <cellStyle name="Normal 4 6 4 3 3 3" xfId="8545" xr:uid="{23E360A0-3404-4DB2-B053-B1EF4889A04E}"/>
    <cellStyle name="Normal 4 6 4 3 3 4" xfId="8546" xr:uid="{10435BED-1242-4302-8C04-3597D91F293D}"/>
    <cellStyle name="Normal 4 6 4 3 3 5" xfId="8547" xr:uid="{7450D4A5-CBC2-423F-8151-DEBC61A218DB}"/>
    <cellStyle name="Normal 4 6 4 3 4" xfId="8548" xr:uid="{FE75FBF0-30DD-4D7F-BABD-5DF2DB5FE7E7}"/>
    <cellStyle name="Normal 4 6 4 3 4 2" xfId="8549" xr:uid="{7B20F412-BE92-4B17-ADB9-6414358FE7AF}"/>
    <cellStyle name="Normal 4 6 4 3 4 3" xfId="8550" xr:uid="{04D6CC72-329A-4BE9-8FDD-D48FE0432A68}"/>
    <cellStyle name="Normal 4 6 4 3 5" xfId="8551" xr:uid="{A65778E0-020C-4E0D-87B6-70894E2A8F97}"/>
    <cellStyle name="Normal 4 6 4 3 6" xfId="8552" xr:uid="{81F5F483-6FB1-4FE8-BDA8-14FD3CB371AD}"/>
    <cellStyle name="Normal 4 6 4 3 7" xfId="8553" xr:uid="{FDD927D1-3F07-4C61-87CD-BDF648A988C7}"/>
    <cellStyle name="Normal 4 6 4 4" xfId="8554" xr:uid="{F48B0054-AF60-4BC7-BFDF-74F9903750EA}"/>
    <cellStyle name="Normal 4 6 4 4 2" xfId="8555" xr:uid="{59F7F846-118E-4E0D-AC8C-86D2BB4E1916}"/>
    <cellStyle name="Normal 4 6 4 4 2 2" xfId="8556" xr:uid="{FDB047E9-FCB9-45C5-8EEC-F0684D538818}"/>
    <cellStyle name="Normal 4 6 4 4 2 3" xfId="8557" xr:uid="{B8D4FFCE-B726-44A9-974E-2C11CD781A1B}"/>
    <cellStyle name="Normal 4 6 4 4 3" xfId="8558" xr:uid="{08193AD7-F72B-486D-8C95-CE0D460B95FA}"/>
    <cellStyle name="Normal 4 6 4 4 4" xfId="8559" xr:uid="{B48C6BB2-684B-4B72-AC1D-BAA65AF366C7}"/>
    <cellStyle name="Normal 4 6 4 4 5" xfId="8560" xr:uid="{A6B61343-D108-4D66-864E-6802BBAE14F0}"/>
    <cellStyle name="Normal 4 6 4 5" xfId="8561" xr:uid="{D08FA345-EBF0-4C30-BF10-1016EDD48B18}"/>
    <cellStyle name="Normal 4 6 4 5 2" xfId="8562" xr:uid="{BCF9CB31-9393-45E5-9D47-23A4354BB27D}"/>
    <cellStyle name="Normal 4 6 4 5 2 2" xfId="8563" xr:uid="{05AD8421-D89C-4BA9-88DC-A7CA4CB621E3}"/>
    <cellStyle name="Normal 4 6 4 5 2 3" xfId="8564" xr:uid="{D101F694-63DC-4386-809A-E4A383FD943A}"/>
    <cellStyle name="Normal 4 6 4 5 3" xfId="8565" xr:uid="{4C95E681-0E8B-444F-BEFD-327B37F6318F}"/>
    <cellStyle name="Normal 4 6 4 5 4" xfId="8566" xr:uid="{B59F1378-661D-4BF9-AC90-5F37C9F1DA0F}"/>
    <cellStyle name="Normal 4 6 4 5 5" xfId="8567" xr:uid="{38744422-4556-4500-BF5D-249651906AC1}"/>
    <cellStyle name="Normal 4 6 4 6" xfId="8568" xr:uid="{7A49065B-4629-45CB-958A-95DA1F7923AF}"/>
    <cellStyle name="Normal 4 6 4 6 2" xfId="8569" xr:uid="{506A297F-3690-4184-A8FF-8257DCCF46BE}"/>
    <cellStyle name="Normal 4 6 4 6 3" xfId="8570" xr:uid="{209BF4B1-AD14-4AC4-B107-2D6C3835215C}"/>
    <cellStyle name="Normal 4 6 4 7" xfId="8571" xr:uid="{B0757D3B-5EE5-4D80-B41B-67081F1609FE}"/>
    <cellStyle name="Normal 4 6 4 8" xfId="8572" xr:uid="{3A294B03-DB6F-4A1D-8255-5C25BD515C2D}"/>
    <cellStyle name="Normal 4 6 4 9" xfId="8573" xr:uid="{25127F6D-C85C-40B5-9F16-2AE293ADBCA8}"/>
    <cellStyle name="Normal 4 6 5" xfId="8574" xr:uid="{0ACA1C7F-FDB2-4D02-833F-6B61CD293437}"/>
    <cellStyle name="Normal 4 6 5 2" xfId="8575" xr:uid="{183C6A99-296D-4400-A8E4-9A5492647F2B}"/>
    <cellStyle name="Normal 4 6 5 2 2" xfId="8576" xr:uid="{36F09EE0-88BE-4104-A902-3076773937BB}"/>
    <cellStyle name="Normal 4 6 5 2 2 2" xfId="8577" xr:uid="{035BFF46-FCDE-403D-B3CC-18A2AC3AF483}"/>
    <cellStyle name="Normal 4 6 5 2 2 2 2" xfId="8578" xr:uid="{3AB4B7A0-33FD-400A-A759-C00A14A70CA2}"/>
    <cellStyle name="Normal 4 6 5 2 2 2 3" xfId="8579" xr:uid="{BBB6E591-315B-47F5-BBB2-4D92DD2DCE80}"/>
    <cellStyle name="Normal 4 6 5 2 2 3" xfId="8580" xr:uid="{061F3C4A-3A4B-497F-AB42-3D614622730B}"/>
    <cellStyle name="Normal 4 6 5 2 2 4" xfId="8581" xr:uid="{AA8D6D9A-EE1B-464F-B5FD-35ABF448887E}"/>
    <cellStyle name="Normal 4 6 5 2 2 5" xfId="8582" xr:uid="{F3C20A3B-6502-4E8C-9464-BC280159BC73}"/>
    <cellStyle name="Normal 4 6 5 2 3" xfId="8583" xr:uid="{73E03381-D206-4B2A-93C0-ADF2DD415476}"/>
    <cellStyle name="Normal 4 6 5 2 3 2" xfId="8584" xr:uid="{33D0F102-2DAC-4F6C-A07F-FC41F7C34EB6}"/>
    <cellStyle name="Normal 4 6 5 2 3 2 2" xfId="8585" xr:uid="{1A9B1136-6059-4EA0-96D3-D278860A249C}"/>
    <cellStyle name="Normal 4 6 5 2 3 2 3" xfId="8586" xr:uid="{F96EB16B-29DE-40C4-8406-7D3C36C6C8F1}"/>
    <cellStyle name="Normal 4 6 5 2 3 3" xfId="8587" xr:uid="{7990E145-0639-43E3-8234-F8480954C09F}"/>
    <cellStyle name="Normal 4 6 5 2 3 4" xfId="8588" xr:uid="{86BE10CF-2117-4BFE-B023-D1A4F150F539}"/>
    <cellStyle name="Normal 4 6 5 2 3 5" xfId="8589" xr:uid="{D00B8E17-877F-46C6-A4CE-06AA90471CA6}"/>
    <cellStyle name="Normal 4 6 5 2 4" xfId="8590" xr:uid="{95DA7999-6776-48E5-815D-4386EAFD7D75}"/>
    <cellStyle name="Normal 4 6 5 2 4 2" xfId="8591" xr:uid="{CA9CDC9E-CE3F-4102-B178-26C044370234}"/>
    <cellStyle name="Normal 4 6 5 2 4 3" xfId="8592" xr:uid="{5ECED7CB-4F9C-48B5-9BC0-AC1E8DC49A59}"/>
    <cellStyle name="Normal 4 6 5 2 5" xfId="8593" xr:uid="{B9450E78-4D60-47F1-B6C0-3B09663ED2DB}"/>
    <cellStyle name="Normal 4 6 5 2 6" xfId="8594" xr:uid="{74AE3ABC-0E4D-4C00-891B-ACE7F02D97D8}"/>
    <cellStyle name="Normal 4 6 5 2 7" xfId="8595" xr:uid="{A4924333-EE86-4FBE-87C3-C4D707163EFE}"/>
    <cellStyle name="Normal 4 6 5 3" xfId="8596" xr:uid="{6161F6FB-4FFB-464A-9E67-EF4DB56756AA}"/>
    <cellStyle name="Normal 4 6 5 3 2" xfId="8597" xr:uid="{C7D79BEC-13D3-47FE-A2C9-3C4C101B6504}"/>
    <cellStyle name="Normal 4 6 5 3 2 2" xfId="8598" xr:uid="{9692F7DF-2B7A-418D-A3EF-3C679EFB3169}"/>
    <cellStyle name="Normal 4 6 5 3 2 3" xfId="8599" xr:uid="{B59B6F04-25B5-4252-9B82-9CFFAA01536A}"/>
    <cellStyle name="Normal 4 6 5 3 3" xfId="8600" xr:uid="{0B3AFF4D-8C99-4688-B6D4-357D479BFADD}"/>
    <cellStyle name="Normal 4 6 5 3 4" xfId="8601" xr:uid="{4463BDBF-CE53-45FE-AE4E-89C0758364E9}"/>
    <cellStyle name="Normal 4 6 5 3 5" xfId="8602" xr:uid="{4DB5C318-806A-43C7-A5A0-03CD6B937844}"/>
    <cellStyle name="Normal 4 6 5 4" xfId="8603" xr:uid="{7DF05856-0B25-4336-A61E-FE712244A31B}"/>
    <cellStyle name="Normal 4 6 5 4 2" xfId="8604" xr:uid="{CAFFB33E-7073-484A-A8FB-4218690167CC}"/>
    <cellStyle name="Normal 4 6 5 4 2 2" xfId="8605" xr:uid="{2F29C306-9568-4AC3-B629-DE4618FF3A93}"/>
    <cellStyle name="Normal 4 6 5 4 2 3" xfId="8606" xr:uid="{16EAE76A-9FD3-42EA-84B3-845065B552B9}"/>
    <cellStyle name="Normal 4 6 5 4 3" xfId="8607" xr:uid="{2F1E4B81-5BCB-4F0E-87B2-1E4574C7C8FE}"/>
    <cellStyle name="Normal 4 6 5 4 4" xfId="8608" xr:uid="{5204B1BA-5045-4BEB-A6C9-29C2B31719B6}"/>
    <cellStyle name="Normal 4 6 5 4 5" xfId="8609" xr:uid="{C4EBC4D5-622D-458D-B303-9083275FC4DF}"/>
    <cellStyle name="Normal 4 6 5 5" xfId="8610" xr:uid="{2CAC881A-E472-4344-ABDD-1F707F00BB4D}"/>
    <cellStyle name="Normal 4 6 5 5 2" xfId="8611" xr:uid="{474CF92B-57D2-4A3E-80EA-4A48EDFF3377}"/>
    <cellStyle name="Normal 4 6 5 5 3" xfId="8612" xr:uid="{6ACB1EC8-9756-4D48-A6D5-6E12755724DA}"/>
    <cellStyle name="Normal 4 6 5 6" xfId="8613" xr:uid="{ACA0E828-0881-4FB5-9840-4DA583ECAE94}"/>
    <cellStyle name="Normal 4 6 5 7" xfId="8614" xr:uid="{03E9F855-E533-4FD8-A76F-672FAA136351}"/>
    <cellStyle name="Normal 4 6 5 8" xfId="8615" xr:uid="{52E01617-FA54-4BE5-9F46-F8F816C1B87E}"/>
    <cellStyle name="Normal 4 6 6" xfId="8616" xr:uid="{F3A3194D-A58C-4A18-976D-ED88AA3EB335}"/>
    <cellStyle name="Normal 4 6 6 2" xfId="8617" xr:uid="{3CC6E93E-0BBC-4737-8C0C-DB6DB97C3EB9}"/>
    <cellStyle name="Normal 4 6 6 2 2" xfId="8618" xr:uid="{1ACD99DC-ABBF-46C6-B4F3-41A10F959AF2}"/>
    <cellStyle name="Normal 4 6 6 2 2 2" xfId="8619" xr:uid="{394BE5D6-8D54-4979-BDEC-BA8F159FD050}"/>
    <cellStyle name="Normal 4 6 6 2 2 3" xfId="8620" xr:uid="{90EAE324-0E86-40FE-89B1-6F4EBFE7C761}"/>
    <cellStyle name="Normal 4 6 6 2 3" xfId="8621" xr:uid="{1EF08211-621F-4A66-AAC5-6FFA09B4333D}"/>
    <cellStyle name="Normal 4 6 6 2 4" xfId="8622" xr:uid="{6E9EEA24-EAB0-4D53-96AA-9075066E7ECC}"/>
    <cellStyle name="Normal 4 6 6 2 5" xfId="8623" xr:uid="{649D5F7F-B8E5-4AC9-B864-FF684C2F6D88}"/>
    <cellStyle name="Normal 4 6 6 3" xfId="8624" xr:uid="{5FCC64BA-0FDD-42F1-801A-8C8EC6842439}"/>
    <cellStyle name="Normal 4 6 6 3 2" xfId="8625" xr:uid="{FB9DE7EB-1844-4FE1-838A-BE3BB53A805A}"/>
    <cellStyle name="Normal 4 6 6 3 2 2" xfId="8626" xr:uid="{2994C8D7-6796-4328-84F3-BEF23522ABF6}"/>
    <cellStyle name="Normal 4 6 6 3 2 3" xfId="8627" xr:uid="{47BD36CA-C059-40C1-8DBC-759E4B7EF1C1}"/>
    <cellStyle name="Normal 4 6 6 3 3" xfId="8628" xr:uid="{52907297-5E18-43AC-AA84-B6F73442346C}"/>
    <cellStyle name="Normal 4 6 6 3 4" xfId="8629" xr:uid="{1D1A1E8D-46E4-4CD5-93D1-47B642CEEA90}"/>
    <cellStyle name="Normal 4 6 6 3 5" xfId="8630" xr:uid="{5173ADB6-2C8D-4CB5-9EE5-F83C4C214A22}"/>
    <cellStyle name="Normal 4 6 6 4" xfId="8631" xr:uid="{456951CB-F7E6-439A-9C9F-1AE58294406C}"/>
    <cellStyle name="Normal 4 6 6 4 2" xfId="8632" xr:uid="{D0D69D08-1EBE-44B3-A711-B56B9110BB1F}"/>
    <cellStyle name="Normal 4 6 6 4 3" xfId="8633" xr:uid="{C6C30793-B3AE-4C8D-8297-5B9BFB2007A1}"/>
    <cellStyle name="Normal 4 6 6 5" xfId="8634" xr:uid="{0A219C18-610A-4826-A641-FE9D84F2B56C}"/>
    <cellStyle name="Normal 4 6 6 6" xfId="8635" xr:uid="{7E3B917E-208F-4EE3-B13E-2BCD1563F4B4}"/>
    <cellStyle name="Normal 4 6 6 7" xfId="8636" xr:uid="{BDB131C2-4B37-4233-B950-DB8BB2AF5B22}"/>
    <cellStyle name="Normal 4 6 7" xfId="8637" xr:uid="{17654041-73CC-4F02-B71A-E4F5E5AB2513}"/>
    <cellStyle name="Normal 4 6 7 2" xfId="8638" xr:uid="{BD602905-3D25-44E8-AB33-4ECF6FA4DC11}"/>
    <cellStyle name="Normal 4 6 7 2 2" xfId="8639" xr:uid="{FCEB13EC-AB61-492E-9668-6546F292444A}"/>
    <cellStyle name="Normal 4 6 7 2 3" xfId="8640" xr:uid="{ADE0A896-97C5-4FE8-AECC-9DD964268E22}"/>
    <cellStyle name="Normal 4 6 7 3" xfId="8641" xr:uid="{D2D65C56-CE59-4BCE-8F45-F033481FE866}"/>
    <cellStyle name="Normal 4 6 7 4" xfId="8642" xr:uid="{3A4A120D-B9CC-453F-A9F6-32CECBE59695}"/>
    <cellStyle name="Normal 4 6 7 5" xfId="8643" xr:uid="{A67AADFF-33B5-4864-BF0D-2C9311E692EC}"/>
    <cellStyle name="Normal 4 6 8" xfId="8644" xr:uid="{AEC2701E-6DF0-4D7C-A7E8-70F2A9EFFA14}"/>
    <cellStyle name="Normal 4 6 8 2" xfId="8645" xr:uid="{66D89EF1-9479-435A-8890-8F83CAF0646F}"/>
    <cellStyle name="Normal 4 6 8 2 2" xfId="8646" xr:uid="{DFFCC9AD-D6DC-4748-A8F8-0A1790A169DB}"/>
    <cellStyle name="Normal 4 6 8 2 3" xfId="8647" xr:uid="{B2545A07-506B-4AD9-B5E1-C971F9AD1A45}"/>
    <cellStyle name="Normal 4 6 8 3" xfId="8648" xr:uid="{6C8A4A00-8D55-4892-9446-484AB596D586}"/>
    <cellStyle name="Normal 4 6 8 4" xfId="8649" xr:uid="{B5060068-B832-4A20-A823-6F8382AB8652}"/>
    <cellStyle name="Normal 4 6 8 5" xfId="8650" xr:uid="{6C1CAE12-E08D-451C-87C9-57B111ECC55F}"/>
    <cellStyle name="Normal 4 6 9" xfId="8651" xr:uid="{ED6866F0-513D-4B8E-9C65-CEBC777F1147}"/>
    <cellStyle name="Normal 4 6 9 2" xfId="8652" xr:uid="{0032854F-35FD-4BD2-993A-9B3FB8A84FB1}"/>
    <cellStyle name="Normal 4 6 9 3" xfId="8653" xr:uid="{B9FFE712-2940-4B34-8DAE-7CE2D7168D7B}"/>
    <cellStyle name="Normal 4 7" xfId="8654" xr:uid="{487F0660-5B07-40A1-8011-016C3C54B390}"/>
    <cellStyle name="Normal 4 7 2" xfId="8655" xr:uid="{141ACC1A-6C12-431A-9AD2-3404830A5C60}"/>
    <cellStyle name="Normal 4 7 2 2" xfId="8656" xr:uid="{49F9D7A3-E68E-4630-A589-FC3B944E05FE}"/>
    <cellStyle name="Normal 4 7 2 2 2" xfId="8657" xr:uid="{807213CB-4031-48BF-82F3-F09EEF6952FC}"/>
    <cellStyle name="Normal 4 7 2 2 2 2" xfId="8658" xr:uid="{EE50CF16-3CD1-4C51-8455-4581371AB302}"/>
    <cellStyle name="Normal 4 7 2 2 2 2 2" xfId="8659" xr:uid="{272FB53F-5909-4DEB-8B4D-D73E35DD3BA8}"/>
    <cellStyle name="Normal 4 7 2 2 2 2 3" xfId="8660" xr:uid="{114970F5-2EFC-49F1-A847-A827492C1705}"/>
    <cellStyle name="Normal 4 7 2 2 2 3" xfId="8661" xr:uid="{938CE0A8-DFBA-48F8-95EC-C61A2868EFF3}"/>
    <cellStyle name="Normal 4 7 2 2 2 4" xfId="8662" xr:uid="{8FDDECD6-8B97-4A62-B481-91FA91C4D413}"/>
    <cellStyle name="Normal 4 7 2 2 2 5" xfId="8663" xr:uid="{41908A57-2CED-4563-8351-4E33593272B8}"/>
    <cellStyle name="Normal 4 7 2 2 3" xfId="8664" xr:uid="{0DB7CEB9-BDBA-4E78-A894-86CE1609C11E}"/>
    <cellStyle name="Normal 4 7 2 2 3 2" xfId="8665" xr:uid="{78FA5341-2E77-4280-ACBA-7C72EB8C113E}"/>
    <cellStyle name="Normal 4 7 2 2 3 2 2" xfId="8666" xr:uid="{89389C40-5D8D-4DB8-B3C8-5A1A39BD4BB4}"/>
    <cellStyle name="Normal 4 7 2 2 3 2 3" xfId="8667" xr:uid="{20F3D71E-BA32-446D-BEB0-9173429B246F}"/>
    <cellStyle name="Normal 4 7 2 2 3 3" xfId="8668" xr:uid="{820B25C8-0A93-435F-B6A9-5A44138CFCA8}"/>
    <cellStyle name="Normal 4 7 2 2 3 4" xfId="8669" xr:uid="{74899ED0-A4FE-43AB-906A-870850DF2BF6}"/>
    <cellStyle name="Normal 4 7 2 2 3 5" xfId="8670" xr:uid="{F3B3655B-2A32-496B-8781-16502E32C6D7}"/>
    <cellStyle name="Normal 4 7 2 2 4" xfId="8671" xr:uid="{C0321215-6D44-41DE-8377-9A560460BD00}"/>
    <cellStyle name="Normal 4 7 2 2 4 2" xfId="8672" xr:uid="{6FC9202C-8927-49BB-BF8C-51A5A388864D}"/>
    <cellStyle name="Normal 4 7 2 2 4 3" xfId="8673" xr:uid="{3E19AD00-BBA8-42A0-9AFD-5424C7A134E3}"/>
    <cellStyle name="Normal 4 7 2 2 5" xfId="8674" xr:uid="{FE626B96-0A7F-4670-A64D-6CAE7EF26908}"/>
    <cellStyle name="Normal 4 7 2 2 6" xfId="8675" xr:uid="{C7F565BC-B16D-42EA-B990-B3CECA878259}"/>
    <cellStyle name="Normal 4 7 2 2 7" xfId="8676" xr:uid="{97F35E63-BA5A-4404-A986-D398A9D5D453}"/>
    <cellStyle name="Normal 4 7 2 3" xfId="8677" xr:uid="{B68D5123-28B2-47C7-8EC1-D6A2B18092E5}"/>
    <cellStyle name="Normal 4 7 2 3 2" xfId="8678" xr:uid="{C35D40CF-EF63-4B60-8347-4B06CA8DAF39}"/>
    <cellStyle name="Normal 4 7 2 3 2 2" xfId="8679" xr:uid="{85343292-19B3-4802-AB6F-8C2A3912226A}"/>
    <cellStyle name="Normal 4 7 2 3 2 3" xfId="8680" xr:uid="{73A315A3-0B45-4344-AE8D-98F36FE4DFA4}"/>
    <cellStyle name="Normal 4 7 2 3 3" xfId="8681" xr:uid="{21CAA852-4E54-4C71-9473-CE08D55FD25B}"/>
    <cellStyle name="Normal 4 7 2 3 4" xfId="8682" xr:uid="{9FC22DE7-3D66-41A0-84DF-130B504F75D3}"/>
    <cellStyle name="Normal 4 7 2 3 5" xfId="8683" xr:uid="{080B99E8-BFA0-4CA6-B76B-1C48DB06DA1D}"/>
    <cellStyle name="Normal 4 7 2 4" xfId="8684" xr:uid="{F6617DBD-E562-4ABF-8209-198AF5E40803}"/>
    <cellStyle name="Normal 4 7 2 4 2" xfId="8685" xr:uid="{19695A48-6BF1-4525-968D-00BAE778853F}"/>
    <cellStyle name="Normal 4 7 2 4 2 2" xfId="8686" xr:uid="{2A0D849C-E186-4FEB-908E-9DA3462A5F80}"/>
    <cellStyle name="Normal 4 7 2 4 2 3" xfId="8687" xr:uid="{E591C795-366E-491D-87C4-37D7A386449E}"/>
    <cellStyle name="Normal 4 7 2 4 3" xfId="8688" xr:uid="{2D78B6E1-B583-4C5A-BF20-37713A9B0842}"/>
    <cellStyle name="Normal 4 7 2 4 4" xfId="8689" xr:uid="{4645FBDB-15AC-4670-8C90-C09E9D47811B}"/>
    <cellStyle name="Normal 4 7 2 4 5" xfId="8690" xr:uid="{1B514CC2-FAFA-496F-8EE8-026653D8031F}"/>
    <cellStyle name="Normal 4 7 2 5" xfId="8691" xr:uid="{FEF3169D-902A-4FB0-B3DA-3AB75551022D}"/>
    <cellStyle name="Normal 4 7 2 5 2" xfId="8692" xr:uid="{8B4684A0-1E88-428A-98B5-3B6AF76FB16F}"/>
    <cellStyle name="Normal 4 7 2 5 3" xfId="8693" xr:uid="{5A58C593-D6AB-4C1A-AE25-91F4CB9C73C3}"/>
    <cellStyle name="Normal 4 7 2 6" xfId="8694" xr:uid="{1D6507B7-8E97-4082-B27F-0E94AE543062}"/>
    <cellStyle name="Normal 4 7 2 7" xfId="8695" xr:uid="{64620D63-4578-48C1-8BA4-8B04302D8017}"/>
    <cellStyle name="Normal 4 7 2 8" xfId="8696" xr:uid="{937FAB9C-6022-43E9-BA66-E13C6FA146AD}"/>
    <cellStyle name="Normal 4 7 3" xfId="8697" xr:uid="{CCF6B61E-F55B-4334-87C6-8F681F8CE54F}"/>
    <cellStyle name="Normal 4 7 3 2" xfId="8698" xr:uid="{12241C40-F28F-430A-B91E-9E6B0F32ADB5}"/>
    <cellStyle name="Normal 4 7 3 2 2" xfId="8699" xr:uid="{92B0BDAD-6934-48A9-8877-8B199D27E476}"/>
    <cellStyle name="Normal 4 7 3 2 2 2" xfId="8700" xr:uid="{B24B6800-10D1-441B-8CD7-8F3E372F7855}"/>
    <cellStyle name="Normal 4 7 3 2 2 3" xfId="8701" xr:uid="{C26B393E-8E21-4CA9-A4C2-AF5BA4A8E6D4}"/>
    <cellStyle name="Normal 4 7 3 2 3" xfId="8702" xr:uid="{1E1DE828-1FC4-4C59-AB71-CD03810F3324}"/>
    <cellStyle name="Normal 4 7 3 2 4" xfId="8703" xr:uid="{51CE40C4-B18C-4E71-9221-D4C2E7A4907B}"/>
    <cellStyle name="Normal 4 7 3 2 5" xfId="8704" xr:uid="{65B0C7AE-B881-4E6A-B81E-9F7F248029A6}"/>
    <cellStyle name="Normal 4 7 3 3" xfId="8705" xr:uid="{1AC75A81-7FA7-4EAA-BA0E-53EA52A96D1A}"/>
    <cellStyle name="Normal 4 7 3 3 2" xfId="8706" xr:uid="{5E9AFBF4-4186-4D80-BA9A-F368EE1A12BE}"/>
    <cellStyle name="Normal 4 7 3 3 2 2" xfId="8707" xr:uid="{4012D622-D4E9-4FBB-BC00-E92CFEF0EC4D}"/>
    <cellStyle name="Normal 4 7 3 3 2 3" xfId="8708" xr:uid="{53BE5D50-D7E6-4276-8AB0-F1D4E18C976A}"/>
    <cellStyle name="Normal 4 7 3 3 3" xfId="8709" xr:uid="{73014952-52BA-43C4-8229-56DA395C7682}"/>
    <cellStyle name="Normal 4 7 3 3 4" xfId="8710" xr:uid="{2F1A5D2B-506D-4C61-8B25-D5FFDDFE644C}"/>
    <cellStyle name="Normal 4 7 3 3 5" xfId="8711" xr:uid="{79302B1D-DAFA-456A-A819-289D34436530}"/>
    <cellStyle name="Normal 4 7 3 4" xfId="8712" xr:uid="{29585DAD-74BD-4890-B06A-A5A572402BD2}"/>
    <cellStyle name="Normal 4 7 3 4 2" xfId="8713" xr:uid="{B1299F08-0F5A-4CE4-B5E5-AF8482B1329F}"/>
    <cellStyle name="Normal 4 7 3 4 3" xfId="8714" xr:uid="{921F8434-E423-4892-861F-5553ADB12136}"/>
    <cellStyle name="Normal 4 7 3 5" xfId="8715" xr:uid="{E1DDA58E-CCD4-4EC6-BBDB-930CFBA9360A}"/>
    <cellStyle name="Normal 4 7 3 6" xfId="8716" xr:uid="{E93308F0-AF55-4478-9595-4044816AEA96}"/>
    <cellStyle name="Normal 4 7 3 7" xfId="8717" xr:uid="{99D523B9-3A26-4C26-B3F1-351B88580EE4}"/>
    <cellStyle name="Normal 4 7 4" xfId="8718" xr:uid="{A8C3A5CD-E087-4D46-B0D4-82EB7E0B795F}"/>
    <cellStyle name="Normal 4 7 4 2" xfId="8719" xr:uid="{63431349-BDB5-4094-8692-9DA9D89018C8}"/>
    <cellStyle name="Normal 4 7 4 2 2" xfId="8720" xr:uid="{E53EFBE6-93AF-4C84-930C-4FEF8EBCC253}"/>
    <cellStyle name="Normal 4 7 4 2 3" xfId="8721" xr:uid="{815042A9-837A-4C10-AAC8-58D63C756E38}"/>
    <cellStyle name="Normal 4 7 4 3" xfId="8722" xr:uid="{AF8D17FA-BB6F-402C-A506-D05EBE9062DB}"/>
    <cellStyle name="Normal 4 7 4 4" xfId="8723" xr:uid="{54A006F2-0F95-4AE8-AADE-5C8A0ABE2F5E}"/>
    <cellStyle name="Normal 4 7 4 5" xfId="8724" xr:uid="{1454E30C-10A5-4553-B625-EE4D922DB3CE}"/>
    <cellStyle name="Normal 4 7 5" xfId="8725" xr:uid="{1FC6BF8B-C31F-409B-8494-A9BB8445A965}"/>
    <cellStyle name="Normal 4 7 5 2" xfId="8726" xr:uid="{C7126974-7249-44D8-8743-34CE9C2CA582}"/>
    <cellStyle name="Normal 4 7 5 2 2" xfId="8727" xr:uid="{3E12F40F-23A8-436D-817C-DC3986672454}"/>
    <cellStyle name="Normal 4 7 5 2 3" xfId="8728" xr:uid="{BF4AC178-6B7A-4746-9113-CCDE8651724E}"/>
    <cellStyle name="Normal 4 7 5 3" xfId="8729" xr:uid="{9BF500ED-167E-4945-893B-BE4064E382EA}"/>
    <cellStyle name="Normal 4 7 5 4" xfId="8730" xr:uid="{74C001C5-0786-4DB8-9651-8DC5F8E3AF8B}"/>
    <cellStyle name="Normal 4 7 5 5" xfId="8731" xr:uid="{F40390D6-67E9-4339-8DB7-4FA4CD24DA48}"/>
    <cellStyle name="Normal 4 7 6" xfId="8732" xr:uid="{2C6CC028-11A7-43EF-B6EA-0C548714E4AA}"/>
    <cellStyle name="Normal 4 7 6 2" xfId="8733" xr:uid="{F29BD3BC-AFBA-43C1-BF59-E080EC562D32}"/>
    <cellStyle name="Normal 4 7 6 3" xfId="8734" xr:uid="{A1C52748-469B-475E-9722-D0E7A1FF6B95}"/>
    <cellStyle name="Normal 4 7 7" xfId="8735" xr:uid="{E1087EAB-5D8A-49FF-93DC-1AB9C09C378D}"/>
    <cellStyle name="Normal 4 7 8" xfId="8736" xr:uid="{EA258A33-008F-4BEF-B17F-8B70D1423A35}"/>
    <cellStyle name="Normal 4 7 9" xfId="8737" xr:uid="{1D8DD5AF-14CA-41F2-BA2A-12A98E6AA1DC}"/>
    <cellStyle name="Normal 4 8" xfId="8738" xr:uid="{E4D48098-4D8D-4B43-BF2B-2F61637E0B99}"/>
    <cellStyle name="Normal 4 8 2" xfId="8739" xr:uid="{6D9785A4-5C87-41FF-989D-BC9455EF7526}"/>
    <cellStyle name="Normal 4 8 2 2" xfId="8740" xr:uid="{0B592609-4B7B-49C0-A11B-B1826E3E3196}"/>
    <cellStyle name="Normal 4 8 2 2 2" xfId="8741" xr:uid="{24F848AA-E7CF-47F2-AE42-1FCA3279E3D9}"/>
    <cellStyle name="Normal 4 8 2 2 2 2" xfId="8742" xr:uid="{DDC41CE4-8724-4F76-ADAD-9F0C2EAC5883}"/>
    <cellStyle name="Normal 4 8 2 2 2 2 2" xfId="8743" xr:uid="{978AD598-7D5C-41A9-B5F7-8FC642352FFF}"/>
    <cellStyle name="Normal 4 8 2 2 2 2 3" xfId="8744" xr:uid="{3A304CCE-255F-42F1-9544-6EFFE7B6BB07}"/>
    <cellStyle name="Normal 4 8 2 2 2 3" xfId="8745" xr:uid="{709CDC76-62A6-4376-897D-DA7CAECF038A}"/>
    <cellStyle name="Normal 4 8 2 2 2 4" xfId="8746" xr:uid="{39D1C9FD-8C3E-486F-B8C6-1EF5AE051620}"/>
    <cellStyle name="Normal 4 8 2 2 2 5" xfId="8747" xr:uid="{0C4126CB-2809-495B-AD99-B3109FC5EB1C}"/>
    <cellStyle name="Normal 4 8 2 2 3" xfId="8748" xr:uid="{2FE464E9-3D84-4E7B-9489-6D722D16ED0C}"/>
    <cellStyle name="Normal 4 8 2 2 3 2" xfId="8749" xr:uid="{4D486EBD-CB09-4C72-BE5C-1586E0869C8B}"/>
    <cellStyle name="Normal 4 8 2 2 3 2 2" xfId="8750" xr:uid="{364BC342-7EEA-43D7-BC37-36CF037C889F}"/>
    <cellStyle name="Normal 4 8 2 2 3 2 3" xfId="8751" xr:uid="{4B3B7D2C-BEC3-497D-A0FF-A5C12695B285}"/>
    <cellStyle name="Normal 4 8 2 2 3 3" xfId="8752" xr:uid="{FE794F60-7B4F-4A52-A3CA-FCF3CC78D66C}"/>
    <cellStyle name="Normal 4 8 2 2 3 4" xfId="8753" xr:uid="{B4C0E6E6-5CF9-4DBF-A877-309F6413E3D4}"/>
    <cellStyle name="Normal 4 8 2 2 3 5" xfId="8754" xr:uid="{5694DDE1-4134-40AD-98A9-5FFA1CCAFCC5}"/>
    <cellStyle name="Normal 4 8 2 2 4" xfId="8755" xr:uid="{A0AACFD5-2DCB-4820-8C6C-F55AE840E442}"/>
    <cellStyle name="Normal 4 8 2 2 4 2" xfId="8756" xr:uid="{E3331409-0241-4328-BE15-1214885F336E}"/>
    <cellStyle name="Normal 4 8 2 2 4 3" xfId="8757" xr:uid="{F9B5275A-0BB2-470F-B07F-23A504508CAB}"/>
    <cellStyle name="Normal 4 8 2 2 5" xfId="8758" xr:uid="{27E1CE9D-E796-43E7-BD22-9028DFA4A26D}"/>
    <cellStyle name="Normal 4 8 2 2 6" xfId="8759" xr:uid="{9F118597-ACE9-403E-BB50-A3DD1E7871A6}"/>
    <cellStyle name="Normal 4 8 2 2 7" xfId="8760" xr:uid="{B98BB4FA-83DC-49A8-92EF-2F0D36D3723F}"/>
    <cellStyle name="Normal 4 8 2 3" xfId="8761" xr:uid="{F17EE1E0-1170-4713-970A-A3CC65210368}"/>
    <cellStyle name="Normal 4 8 2 3 2" xfId="8762" xr:uid="{5013BA2A-987B-4348-9F2D-2CFC0D1D749F}"/>
    <cellStyle name="Normal 4 8 2 3 2 2" xfId="8763" xr:uid="{037E2634-B8CB-45AA-A657-5379A474985F}"/>
    <cellStyle name="Normal 4 8 2 3 2 3" xfId="8764" xr:uid="{701D0355-7FB2-42DE-AC7D-C36A29720DF6}"/>
    <cellStyle name="Normal 4 8 2 3 3" xfId="8765" xr:uid="{BD8ADEA2-FBE6-41C9-B655-CFE26FE0EE1F}"/>
    <cellStyle name="Normal 4 8 2 3 4" xfId="8766" xr:uid="{1C4F446B-1A27-418A-A238-7A0A5048217A}"/>
    <cellStyle name="Normal 4 8 2 3 5" xfId="8767" xr:uid="{EEDDD2F4-CA83-41F2-A56C-FD58BB95B9DC}"/>
    <cellStyle name="Normal 4 8 2 4" xfId="8768" xr:uid="{1DC05A64-EA91-4798-870C-E6B5F2344D12}"/>
    <cellStyle name="Normal 4 8 2 4 2" xfId="8769" xr:uid="{23EE200F-F342-491F-904B-ED0F7AE17257}"/>
    <cellStyle name="Normal 4 8 2 4 2 2" xfId="8770" xr:uid="{1094889D-FE33-461A-9582-3B4DD3383798}"/>
    <cellStyle name="Normal 4 8 2 4 2 3" xfId="8771" xr:uid="{372732B1-8D76-404C-92F6-01B3FC17189E}"/>
    <cellStyle name="Normal 4 8 2 4 3" xfId="8772" xr:uid="{D81AF5F2-1558-4D36-B2C4-2058BCDD1FF8}"/>
    <cellStyle name="Normal 4 8 2 4 4" xfId="8773" xr:uid="{3557018E-3933-42DD-B417-A7C70BB7888B}"/>
    <cellStyle name="Normal 4 8 2 4 5" xfId="8774" xr:uid="{6A05D232-73E8-4D34-9D80-C2D2509BA291}"/>
    <cellStyle name="Normal 4 8 2 5" xfId="8775" xr:uid="{0DB46154-3259-44AA-8628-B14A5D414D53}"/>
    <cellStyle name="Normal 4 8 2 5 2" xfId="8776" xr:uid="{3FD387E0-7FE1-4348-AC5A-E83E288A1227}"/>
    <cellStyle name="Normal 4 8 2 5 3" xfId="8777" xr:uid="{87994AC4-3554-4EF2-B6ED-CF4BC6307768}"/>
    <cellStyle name="Normal 4 8 2 6" xfId="8778" xr:uid="{F595A3E2-50CF-41D3-A6CB-45F69AA5C1B5}"/>
    <cellStyle name="Normal 4 8 2 7" xfId="8779" xr:uid="{9E7FC03E-8AFE-4F1A-9A73-279838307A24}"/>
    <cellStyle name="Normal 4 8 2 8" xfId="8780" xr:uid="{B995D69F-1B2E-467E-83F4-7603B890D349}"/>
    <cellStyle name="Normal 4 8 3" xfId="8781" xr:uid="{0DE8BB2B-4E32-4117-8256-1A4DE56CDFA2}"/>
    <cellStyle name="Normal 4 8 3 2" xfId="8782" xr:uid="{86396BD3-E007-4DB2-B899-BC8F015D6650}"/>
    <cellStyle name="Normal 4 8 3 2 2" xfId="8783" xr:uid="{6F748FC2-9E16-4E0C-B581-33D24789FEA3}"/>
    <cellStyle name="Normal 4 8 3 2 2 2" xfId="8784" xr:uid="{A0CF734B-0DD4-452C-9481-C2B6A6275A12}"/>
    <cellStyle name="Normal 4 8 3 2 2 3" xfId="8785" xr:uid="{FCE95A57-F83B-4FDD-A454-998E4D1912AD}"/>
    <cellStyle name="Normal 4 8 3 2 3" xfId="8786" xr:uid="{EFD1A6A9-8A1D-48E3-B013-A488C0D1736E}"/>
    <cellStyle name="Normal 4 8 3 2 4" xfId="8787" xr:uid="{30C46EFA-4B92-4123-83C8-D644EA008152}"/>
    <cellStyle name="Normal 4 8 3 2 5" xfId="8788" xr:uid="{E1B2FEF2-C3B1-44B9-96B9-727517DFEB66}"/>
    <cellStyle name="Normal 4 8 3 3" xfId="8789" xr:uid="{DA9BBD4C-75A6-4CC4-8A3E-67E7253B32D4}"/>
    <cellStyle name="Normal 4 8 3 3 2" xfId="8790" xr:uid="{0B5D34CD-D3B9-499A-87D1-1297B498472F}"/>
    <cellStyle name="Normal 4 8 3 3 2 2" xfId="8791" xr:uid="{5042F771-7388-4E41-9638-A0D5DB6B637A}"/>
    <cellStyle name="Normal 4 8 3 3 2 3" xfId="8792" xr:uid="{A3074EB8-C032-4CA6-8274-05B1E6E8A65A}"/>
    <cellStyle name="Normal 4 8 3 3 3" xfId="8793" xr:uid="{4FDC65A2-F8B9-4A79-9034-C140631565E7}"/>
    <cellStyle name="Normal 4 8 3 3 4" xfId="8794" xr:uid="{CFA24BA2-5B4E-447E-ADB1-DB95ECFF53B7}"/>
    <cellStyle name="Normal 4 8 3 3 5" xfId="8795" xr:uid="{39FEA642-AEF0-4F82-A8AE-8BEDF57A8243}"/>
    <cellStyle name="Normal 4 8 3 4" xfId="8796" xr:uid="{7A9AD4FE-8FE7-4754-B2F0-D1D28C3409B5}"/>
    <cellStyle name="Normal 4 8 3 4 2" xfId="8797" xr:uid="{23E5C47A-B5F4-4CB7-9152-0A29F259BB45}"/>
    <cellStyle name="Normal 4 8 3 4 3" xfId="8798" xr:uid="{3FB068D6-8249-499B-BA3C-3D2328329759}"/>
    <cellStyle name="Normal 4 8 3 5" xfId="8799" xr:uid="{04F45FD0-3E11-4BE4-9D7A-7736D378AE82}"/>
    <cellStyle name="Normal 4 8 3 6" xfId="8800" xr:uid="{9224E4D5-5DF8-4673-A34F-10611F3C7E31}"/>
    <cellStyle name="Normal 4 8 3 7" xfId="8801" xr:uid="{8A5B10D9-9CFE-40FC-A2C7-22A4FF752020}"/>
    <cellStyle name="Normal 4 8 4" xfId="8802" xr:uid="{EA1E6A7C-876F-4E14-9D73-785C4E0BC5A3}"/>
    <cellStyle name="Normal 4 8 4 2" xfId="8803" xr:uid="{4653ABC6-EA1A-4B0A-B7AC-19B27CEF1263}"/>
    <cellStyle name="Normal 4 8 4 2 2" xfId="8804" xr:uid="{A52B420A-1415-4124-96A1-9E4AC78CB854}"/>
    <cellStyle name="Normal 4 8 4 2 3" xfId="8805" xr:uid="{D9C3405E-7A62-495B-AFCA-E91370DF2C14}"/>
    <cellStyle name="Normal 4 8 4 3" xfId="8806" xr:uid="{C74F6AF8-F067-40A6-840D-0C55AAB5345C}"/>
    <cellStyle name="Normal 4 8 4 4" xfId="8807" xr:uid="{5EDB7F96-1FE9-4532-B61E-FE1F3FEAB835}"/>
    <cellStyle name="Normal 4 8 4 5" xfId="8808" xr:uid="{4C3F380A-3A44-4D3D-86A5-2EB82F549E06}"/>
    <cellStyle name="Normal 4 8 5" xfId="8809" xr:uid="{205CE81A-FD45-479E-91C6-7D566B596425}"/>
    <cellStyle name="Normal 4 8 5 2" xfId="8810" xr:uid="{5A64883A-B308-4BB4-B0DC-2EC038D3555A}"/>
    <cellStyle name="Normal 4 8 5 2 2" xfId="8811" xr:uid="{711B1EB1-5E04-4C76-BBDC-9E88749C3A80}"/>
    <cellStyle name="Normal 4 8 5 2 3" xfId="8812" xr:uid="{5A6F270B-E2DE-49F8-92A6-7D210C2D0479}"/>
    <cellStyle name="Normal 4 8 5 3" xfId="8813" xr:uid="{5A2E27E6-D86F-4EE6-BCC9-3876B5E0FC0C}"/>
    <cellStyle name="Normal 4 8 5 4" xfId="8814" xr:uid="{5E2AEC0F-A5E7-492E-974C-4C3B3D2E1C7B}"/>
    <cellStyle name="Normal 4 8 5 5" xfId="8815" xr:uid="{04F0C552-C5AB-4722-9B63-223C8ED7AFA2}"/>
    <cellStyle name="Normal 4 8 6" xfId="8816" xr:uid="{8176169C-E3BD-4562-9976-CC9E56EF5959}"/>
    <cellStyle name="Normal 4 8 6 2" xfId="8817" xr:uid="{2120F0C9-C377-49CB-A668-5D8C09EE0F49}"/>
    <cellStyle name="Normal 4 8 6 3" xfId="8818" xr:uid="{885687A5-D06D-47B8-A8EA-DFBF6478C9BB}"/>
    <cellStyle name="Normal 4 8 7" xfId="8819" xr:uid="{27BDBDC3-61A3-44D8-A7D8-DBA2A0696BF9}"/>
    <cellStyle name="Normal 4 8 8" xfId="8820" xr:uid="{A013DA40-C9DD-44F6-A3A5-BACD1C22325B}"/>
    <cellStyle name="Normal 4 8 9" xfId="8821" xr:uid="{D744691A-719D-4907-900F-607620AFD825}"/>
    <cellStyle name="Normal 4 9" xfId="8822" xr:uid="{2DBBAAEC-6347-4E4B-948B-B583DAC52BB9}"/>
    <cellStyle name="Normal 4 9 2" xfId="8823" xr:uid="{9BE58AE7-985D-4720-B561-4F58C2EB8327}"/>
    <cellStyle name="Normal 4 9 2 2" xfId="8824" xr:uid="{3581A52C-112A-4558-A5D3-0307D1B743F7}"/>
    <cellStyle name="Normal 4 9 2 2 2" xfId="8825" xr:uid="{26EF6D07-1605-4F11-9005-1D85F3E9A34A}"/>
    <cellStyle name="Normal 4 9 2 2 2 2" xfId="8826" xr:uid="{F9DA2C1C-5CBB-4533-92B2-096C52390B13}"/>
    <cellStyle name="Normal 4 9 2 2 2 2 2" xfId="8827" xr:uid="{0E965DF0-D551-4201-8C9F-303C52FD5631}"/>
    <cellStyle name="Normal 4 9 2 2 2 2 3" xfId="8828" xr:uid="{5C317911-EC7F-4B7D-B746-6FA100647C2E}"/>
    <cellStyle name="Normal 4 9 2 2 2 3" xfId="8829" xr:uid="{56E0C505-C9C4-47A0-BE41-EBF9E28BC60B}"/>
    <cellStyle name="Normal 4 9 2 2 2 4" xfId="8830" xr:uid="{C2F43BA9-1945-4E23-B4CC-FC964F6A8D8A}"/>
    <cellStyle name="Normal 4 9 2 2 2 5" xfId="8831" xr:uid="{4A1A1BAD-D8AC-4A92-8634-09477B6E55DE}"/>
    <cellStyle name="Normal 4 9 2 2 3" xfId="8832" xr:uid="{8873DFA8-31CE-4DF3-B807-FFDE5B65F0BC}"/>
    <cellStyle name="Normal 4 9 2 2 3 2" xfId="8833" xr:uid="{437C9DC2-2872-41FF-A9B1-B1D637E164C4}"/>
    <cellStyle name="Normal 4 9 2 2 3 2 2" xfId="8834" xr:uid="{242CB7D8-7C4E-41F8-ADAE-E9E9A5A8C1F1}"/>
    <cellStyle name="Normal 4 9 2 2 3 2 3" xfId="8835" xr:uid="{4E6DE0CB-BD14-4C16-968B-68DAC3459743}"/>
    <cellStyle name="Normal 4 9 2 2 3 3" xfId="8836" xr:uid="{6CD4C4B3-155E-4AA9-A0CB-ABE9FE72C704}"/>
    <cellStyle name="Normal 4 9 2 2 3 4" xfId="8837" xr:uid="{BEF0532E-522A-46B4-8595-08856B31E25F}"/>
    <cellStyle name="Normal 4 9 2 2 3 5" xfId="8838" xr:uid="{7DC40B93-8ECA-4B28-AA3A-C7E190CC87C5}"/>
    <cellStyle name="Normal 4 9 2 2 4" xfId="8839" xr:uid="{4BC676BF-02D5-40C9-99F6-5AF6F8A2432F}"/>
    <cellStyle name="Normal 4 9 2 2 4 2" xfId="8840" xr:uid="{9B4194AD-3B9E-4BFD-94E7-DC35CD585D4D}"/>
    <cellStyle name="Normal 4 9 2 2 4 3" xfId="8841" xr:uid="{31F07575-5B6D-4D5D-8520-4323094A1990}"/>
    <cellStyle name="Normal 4 9 2 2 5" xfId="8842" xr:uid="{450AE8F1-0C7C-4157-A4EF-379DFEA28655}"/>
    <cellStyle name="Normal 4 9 2 2 6" xfId="8843" xr:uid="{3C04E010-68A9-4D90-817D-F275F151D13D}"/>
    <cellStyle name="Normal 4 9 2 2 7" xfId="8844" xr:uid="{9A826D06-FE13-42E0-B10D-9F69C736EEC0}"/>
    <cellStyle name="Normal 4 9 2 3" xfId="8845" xr:uid="{8887E657-FE02-4C64-B4C6-534C47B89513}"/>
    <cellStyle name="Normal 4 9 2 3 2" xfId="8846" xr:uid="{A1F74A44-7C05-4350-B7A3-31222748CF51}"/>
    <cellStyle name="Normal 4 9 2 3 2 2" xfId="8847" xr:uid="{D1BF5FFB-80B1-4A33-A542-5CACB2C26B38}"/>
    <cellStyle name="Normal 4 9 2 3 2 3" xfId="8848" xr:uid="{AEFCF4EA-8E1B-406C-B86A-B9B6A9A81EAD}"/>
    <cellStyle name="Normal 4 9 2 3 3" xfId="8849" xr:uid="{61C6D2AD-54B5-4E1B-A78D-D09FA3CF271C}"/>
    <cellStyle name="Normal 4 9 2 3 4" xfId="8850" xr:uid="{7FA8CF71-807A-4E1D-A85D-99648A92A069}"/>
    <cellStyle name="Normal 4 9 2 3 5" xfId="8851" xr:uid="{5CD24E1D-57D2-45FF-9D9A-42E8E08D984C}"/>
    <cellStyle name="Normal 4 9 2 4" xfId="8852" xr:uid="{966748E7-EC8F-47DF-ABA4-660F44C0B879}"/>
    <cellStyle name="Normal 4 9 2 4 2" xfId="8853" xr:uid="{98708729-F45E-4FAE-A50D-4BE9B8EF93FA}"/>
    <cellStyle name="Normal 4 9 2 4 2 2" xfId="8854" xr:uid="{C281F2CC-DB60-4C16-ABC3-CB5DAFA4B984}"/>
    <cellStyle name="Normal 4 9 2 4 2 3" xfId="8855" xr:uid="{92771589-29D5-48AD-9509-AE0B481BDC66}"/>
    <cellStyle name="Normal 4 9 2 4 3" xfId="8856" xr:uid="{5181447C-BC8F-4FC1-B240-D2EFCABBE159}"/>
    <cellStyle name="Normal 4 9 2 4 4" xfId="8857" xr:uid="{45064AFA-07C5-4603-8E88-D944E5448B40}"/>
    <cellStyle name="Normal 4 9 2 4 5" xfId="8858" xr:uid="{F04C2C68-99E3-493E-8E11-5E617FE4B2BA}"/>
    <cellStyle name="Normal 4 9 2 5" xfId="8859" xr:uid="{650AEE55-FBFD-4496-A7C0-9E92EB807F65}"/>
    <cellStyle name="Normal 4 9 2 5 2" xfId="8860" xr:uid="{45CB25B2-B002-48E4-8572-86690A56AA12}"/>
    <cellStyle name="Normal 4 9 2 5 3" xfId="8861" xr:uid="{29DC2D79-496B-4B1C-9851-90A609CAC77E}"/>
    <cellStyle name="Normal 4 9 2 6" xfId="8862" xr:uid="{5A02A7AA-A805-4572-9126-3A2C4FEA9CDD}"/>
    <cellStyle name="Normal 4 9 2 7" xfId="8863" xr:uid="{D5354690-DF61-499D-AEE1-AC963FED4E00}"/>
    <cellStyle name="Normal 4 9 2 8" xfId="8864" xr:uid="{28FAB578-A89D-4AFD-BD82-D6E9E8BC3AF9}"/>
    <cellStyle name="Normal 4 9 3" xfId="8865" xr:uid="{820D5AD9-2DA4-422C-9968-8E4091D336D9}"/>
    <cellStyle name="Normal 4 9 3 2" xfId="8866" xr:uid="{2AB36A51-DEF8-484C-A42F-16A6CEEC5E58}"/>
    <cellStyle name="Normal 4 9 3 2 2" xfId="8867" xr:uid="{DD722E13-D411-426C-BD3F-139CF8B6F39D}"/>
    <cellStyle name="Normal 4 9 3 2 2 2" xfId="8868" xr:uid="{F33EE9BE-AE8E-4468-BF1B-7CD92BF511FE}"/>
    <cellStyle name="Normal 4 9 3 2 2 3" xfId="8869" xr:uid="{1314645A-DAA4-4C22-A7F4-57EDB8312116}"/>
    <cellStyle name="Normal 4 9 3 2 3" xfId="8870" xr:uid="{7B8DD591-0F0C-4371-AF12-01D57B5E678B}"/>
    <cellStyle name="Normal 4 9 3 2 4" xfId="8871" xr:uid="{E022DB97-4F8B-4178-A545-CC90EE30D1A8}"/>
    <cellStyle name="Normal 4 9 3 2 5" xfId="8872" xr:uid="{F0DAD1B4-51EC-4CB4-9107-1598CE77D16B}"/>
    <cellStyle name="Normal 4 9 3 3" xfId="8873" xr:uid="{36ABD4C9-860C-44B0-90CF-9F15EB6099D4}"/>
    <cellStyle name="Normal 4 9 3 3 2" xfId="8874" xr:uid="{8A051651-E50C-4A63-B28B-1C69ED1C53C7}"/>
    <cellStyle name="Normal 4 9 3 3 2 2" xfId="8875" xr:uid="{B48DD32B-5AD4-4B6C-B636-8BC5856C84E5}"/>
    <cellStyle name="Normal 4 9 3 3 2 3" xfId="8876" xr:uid="{CC7C4F69-9B03-44EC-ADE7-35CF69E87FEC}"/>
    <cellStyle name="Normal 4 9 3 3 3" xfId="8877" xr:uid="{F891EAFF-9B16-4C7F-B7CA-25F0231E5C92}"/>
    <cellStyle name="Normal 4 9 3 3 4" xfId="8878" xr:uid="{DC434FE2-331B-4780-A737-624D9B0896A1}"/>
    <cellStyle name="Normal 4 9 3 3 5" xfId="8879" xr:uid="{6EAA5C24-5F4E-4D86-8A45-FF0A11E4C491}"/>
    <cellStyle name="Normal 4 9 3 4" xfId="8880" xr:uid="{7B57BD2D-2336-417B-97BB-A12D7366BB8C}"/>
    <cellStyle name="Normal 4 9 3 4 2" xfId="8881" xr:uid="{C6CF1265-C033-4930-8DDD-287353400ECA}"/>
    <cellStyle name="Normal 4 9 3 4 3" xfId="8882" xr:uid="{397988D5-FD75-40D7-B5D6-7B3169A7671F}"/>
    <cellStyle name="Normal 4 9 3 5" xfId="8883" xr:uid="{82F97F78-D648-4B8B-BD41-26438840D1F8}"/>
    <cellStyle name="Normal 4 9 3 6" xfId="8884" xr:uid="{A4E65029-3CBD-4FCF-8433-AEE0EDBF04C1}"/>
    <cellStyle name="Normal 4 9 3 7" xfId="8885" xr:uid="{CE472744-D1FC-4334-ACEE-F8CC83185C1E}"/>
    <cellStyle name="Normal 4 9 4" xfId="8886" xr:uid="{7EE61438-0A0A-441C-AA5B-BEEDE191C03E}"/>
    <cellStyle name="Normal 4 9 4 2" xfId="8887" xr:uid="{975A6726-DF8B-482E-AED1-D47F08BE6C51}"/>
    <cellStyle name="Normal 4 9 4 2 2" xfId="8888" xr:uid="{330E92C7-F19E-4409-BFEA-3CDE1EE7D584}"/>
    <cellStyle name="Normal 4 9 4 2 3" xfId="8889" xr:uid="{EAD16370-7633-4909-A82F-DF9844CF025A}"/>
    <cellStyle name="Normal 4 9 4 3" xfId="8890" xr:uid="{CEF6CD33-F2B1-44AB-AB11-2BB8A14878EA}"/>
    <cellStyle name="Normal 4 9 4 4" xfId="8891" xr:uid="{385ECA0C-FBEB-45DF-95ED-5825EBF1D0E8}"/>
    <cellStyle name="Normal 4 9 4 5" xfId="8892" xr:uid="{BCE19671-DBC2-4776-BE4C-6DD356C5A1D1}"/>
    <cellStyle name="Normal 4 9 5" xfId="8893" xr:uid="{DCE8F7D4-6AE3-46EC-9867-E5C27AE29B05}"/>
    <cellStyle name="Normal 4 9 5 2" xfId="8894" xr:uid="{44CA824F-937E-48ED-87BF-7617875A94E5}"/>
    <cellStyle name="Normal 4 9 5 2 2" xfId="8895" xr:uid="{3474BA6A-6C71-496A-9333-BA11F4BB01DB}"/>
    <cellStyle name="Normal 4 9 5 2 3" xfId="8896" xr:uid="{B9EC7799-9A3E-4155-8910-09FA932F959A}"/>
    <cellStyle name="Normal 4 9 5 3" xfId="8897" xr:uid="{1F39D8A7-36E4-4560-8D74-EBDA39D47EEB}"/>
    <cellStyle name="Normal 4 9 5 4" xfId="8898" xr:uid="{90D7CF03-93AF-48D9-A364-2FFEA698043E}"/>
    <cellStyle name="Normal 4 9 5 5" xfId="8899" xr:uid="{9E764C7D-9DBC-4388-A3A9-97AB2D6A793C}"/>
    <cellStyle name="Normal 4 9 6" xfId="8900" xr:uid="{0012F8DA-FACE-4A57-9B04-995C5D939239}"/>
    <cellStyle name="Normal 4 9 6 2" xfId="8901" xr:uid="{84AF7B60-CDA5-4F2B-88B3-A86FF8DEDCD5}"/>
    <cellStyle name="Normal 4 9 6 3" xfId="8902" xr:uid="{E0B7C547-52A5-4290-858D-D9541F096AEB}"/>
    <cellStyle name="Normal 4 9 7" xfId="8903" xr:uid="{64D0510A-9FDD-415E-B1B8-64673A66736B}"/>
    <cellStyle name="Normal 4 9 8" xfId="8904" xr:uid="{8E5A47CB-4800-4DBE-B826-CF290A2A7739}"/>
    <cellStyle name="Normal 4 9 9" xfId="8905" xr:uid="{93FB0ACD-BA37-4DEF-8C50-26BFA28784BA}"/>
    <cellStyle name="Normal 4_Attach O, GG, Support -New Method 2-14-11" xfId="734" xr:uid="{9847B086-B7A9-457C-94A3-C4653C3E3ED2}"/>
    <cellStyle name="Normal 40" xfId="30" xr:uid="{00000000-0005-0000-0000-0000A8010000}"/>
    <cellStyle name="Normal 41" xfId="422" xr:uid="{00000000-0005-0000-0000-0000A9010000}"/>
    <cellStyle name="Normal 42" xfId="424" xr:uid="{00000000-0005-0000-0000-0000AA010000}"/>
    <cellStyle name="Normal 43" xfId="423" xr:uid="{00000000-0005-0000-0000-0000AB010000}"/>
    <cellStyle name="Normal 44" xfId="430" xr:uid="{00000000-0005-0000-0000-0000AC010000}"/>
    <cellStyle name="Normal 45" xfId="437" xr:uid="{00000000-0005-0000-0000-0000AD010000}"/>
    <cellStyle name="Normal 46" xfId="498" xr:uid="{00000000-0005-0000-0000-0000AE010000}"/>
    <cellStyle name="Normal 47" xfId="525" xr:uid="{45BC9BCF-A51B-4643-B7EC-62FAEBBE56D0}"/>
    <cellStyle name="Normal 48" xfId="560" xr:uid="{BEC4796C-3220-436B-8BC5-D9BCB2981517}"/>
    <cellStyle name="Normal 49" xfId="563" xr:uid="{5EBCE97D-E963-465F-8EEF-CF082DDA664E}"/>
    <cellStyle name="Normal 5" xfId="41" xr:uid="{00000000-0005-0000-0000-0000AF010000}"/>
    <cellStyle name="Normal 5 10" xfId="8906" xr:uid="{8AADD3D1-C1C8-4AB7-929C-2A96D303657D}"/>
    <cellStyle name="Normal 5 10 2" xfId="8907" xr:uid="{D0B5F49E-6EC6-4BFA-95B5-F69D78827115}"/>
    <cellStyle name="Normal 5 10 2 2" xfId="8908" xr:uid="{AC6867CB-5DEF-4052-835F-CB01501854E2}"/>
    <cellStyle name="Normal 5 10 2 3" xfId="8909" xr:uid="{0D5D1C84-4CA5-4597-99E8-F9472D1A09D2}"/>
    <cellStyle name="Normal 5 10 3" xfId="8910" xr:uid="{D0829DEA-19E2-48A3-B5EF-8B061F2BD8E2}"/>
    <cellStyle name="Normal 5 10 4" xfId="8911" xr:uid="{8FDAB071-1623-4A06-AB4A-0A366B652273}"/>
    <cellStyle name="Normal 5 10 5" xfId="8912" xr:uid="{9B8A2E56-9934-4C84-99D5-101D1F712CC9}"/>
    <cellStyle name="Normal 5 11" xfId="8913" xr:uid="{179805B6-0847-45E5-B343-4F54CA3E841E}"/>
    <cellStyle name="Normal 5 2" xfId="342" xr:uid="{00000000-0005-0000-0000-0000B0010000}"/>
    <cellStyle name="Normal 5 2 2" xfId="8914" xr:uid="{A1BB87C9-A007-4F29-A83C-E92655C986F0}"/>
    <cellStyle name="Normal 5 2 2 2" xfId="8915" xr:uid="{EBCF7A82-1B3D-4FBE-9D83-B67D362115B7}"/>
    <cellStyle name="Normal 5 2 2 2 2" xfId="8916" xr:uid="{24E104D7-58A9-4FC1-87E2-9B6F7808A71A}"/>
    <cellStyle name="Normal 5 2 2 2 2 2" xfId="8917" xr:uid="{49FAB087-5FCD-476F-A5D0-4B47824FB940}"/>
    <cellStyle name="Normal 5 2 2 2 2 2 2" xfId="8918" xr:uid="{A0CBFCF8-2AED-4117-B640-8744497ADF29}"/>
    <cellStyle name="Normal 5 2 2 2 2 2 2 2" xfId="8919" xr:uid="{51967B00-53D9-4884-BE24-869B725BBE94}"/>
    <cellStyle name="Normal 5 2 2 2 2 2 2 3" xfId="8920" xr:uid="{F6A2FF42-A237-4A0D-98D0-73B57C5AF926}"/>
    <cellStyle name="Normal 5 2 2 2 2 2 3" xfId="8921" xr:uid="{5522420C-E3C4-42FE-8B6C-E3D68456E918}"/>
    <cellStyle name="Normal 5 2 2 2 2 2 4" xfId="8922" xr:uid="{C121E17A-2639-4049-9B83-5ACE4A30C3E5}"/>
    <cellStyle name="Normal 5 2 2 2 2 2 5" xfId="8923" xr:uid="{721B52C1-EF53-4F2F-BA90-5C3B97E80915}"/>
    <cellStyle name="Normal 5 2 2 2 2 3" xfId="8924" xr:uid="{221DE971-76C4-4B02-B39D-703DACF5BB05}"/>
    <cellStyle name="Normal 5 2 2 2 2 3 2" xfId="8925" xr:uid="{CE5926F6-5821-4A6F-A454-99EE3D1320DB}"/>
    <cellStyle name="Normal 5 2 2 2 2 3 2 2" xfId="8926" xr:uid="{1ABA682D-DCAE-4C49-9C00-672DDED3BD5A}"/>
    <cellStyle name="Normal 5 2 2 2 2 3 2 3" xfId="8927" xr:uid="{EF00E74F-1907-4097-AFC5-9B16ECA92BA9}"/>
    <cellStyle name="Normal 5 2 2 2 2 3 3" xfId="8928" xr:uid="{6D803131-76E1-41CE-909D-8223089B4FB6}"/>
    <cellStyle name="Normal 5 2 2 2 2 3 4" xfId="8929" xr:uid="{2BA46F71-F3B4-4EA6-854D-D6DCD9A13DF8}"/>
    <cellStyle name="Normal 5 2 2 2 2 3 5" xfId="8930" xr:uid="{B3C59755-5966-461F-9276-9105B00CF8F7}"/>
    <cellStyle name="Normal 5 2 2 2 2 4" xfId="8931" xr:uid="{5DFCDFCF-7BAC-4E07-9307-A4BAF02F2A04}"/>
    <cellStyle name="Normal 5 2 2 2 2 4 2" xfId="8932" xr:uid="{A43F3329-1179-43B9-8BE2-756608AF1A17}"/>
    <cellStyle name="Normal 5 2 2 2 2 4 3" xfId="8933" xr:uid="{49CB2D1A-7083-4DEA-9312-D26C7D0ECD56}"/>
    <cellStyle name="Normal 5 2 2 2 2 5" xfId="8934" xr:uid="{3A5FD4B5-57D9-4341-9E09-0E2A93722833}"/>
    <cellStyle name="Normal 5 2 2 2 2 6" xfId="8935" xr:uid="{11261A36-CD0B-4F8F-861B-61FECCE2B266}"/>
    <cellStyle name="Normal 5 2 2 2 2 7" xfId="8936" xr:uid="{155A24EC-8D5D-403C-B0EC-2F0EF06EEADE}"/>
    <cellStyle name="Normal 5 2 2 2 3" xfId="8937" xr:uid="{A1C050CF-5013-4F59-B3F6-C3FA25ADF1BF}"/>
    <cellStyle name="Normal 5 2 2 2 3 2" xfId="8938" xr:uid="{BD656166-12FE-4803-B366-D0B5F6A4D3DA}"/>
    <cellStyle name="Normal 5 2 2 2 3 2 2" xfId="8939" xr:uid="{92B56F8B-5D35-423A-BDE4-A7E0B5AE8296}"/>
    <cellStyle name="Normal 5 2 2 2 3 2 3" xfId="8940" xr:uid="{0FDF0321-B86E-4A5C-9CF1-74ACDAD1E737}"/>
    <cellStyle name="Normal 5 2 2 2 3 3" xfId="8941" xr:uid="{DA2B5FB8-2AE5-4E23-8C2D-07993944A62E}"/>
    <cellStyle name="Normal 5 2 2 2 3 4" xfId="8942" xr:uid="{9E12CA31-35CE-4EEF-A1B1-23A515D448FB}"/>
    <cellStyle name="Normal 5 2 2 2 3 5" xfId="8943" xr:uid="{0BAA0716-2BC0-48E6-941B-076E1BC2AEAD}"/>
    <cellStyle name="Normal 5 2 2 2 4" xfId="8944" xr:uid="{DCDE23B4-3779-41A5-AD1D-49201869CDE0}"/>
    <cellStyle name="Normal 5 2 2 2 4 2" xfId="8945" xr:uid="{B9C5C4A7-E99E-489E-82DB-C26AD69D7D34}"/>
    <cellStyle name="Normal 5 2 2 2 4 2 2" xfId="8946" xr:uid="{FDF17D44-2922-472F-8DD1-85CDE0CC1572}"/>
    <cellStyle name="Normal 5 2 2 2 4 2 3" xfId="8947" xr:uid="{4F4478C7-5D03-4F29-969B-514D9248C065}"/>
    <cellStyle name="Normal 5 2 2 2 4 3" xfId="8948" xr:uid="{7846577A-E5E9-4DC2-80C6-52726112F1D5}"/>
    <cellStyle name="Normal 5 2 2 2 4 4" xfId="8949" xr:uid="{BAFB432D-5AF5-48E7-9B08-4BD38CF78C54}"/>
    <cellStyle name="Normal 5 2 2 2 4 5" xfId="8950" xr:uid="{43346230-0C71-4989-93C9-B928D4FFF208}"/>
    <cellStyle name="Normal 5 2 2 2 5" xfId="8951" xr:uid="{E3B796C5-7ECD-48D9-B33A-39609483E515}"/>
    <cellStyle name="Normal 5 2 2 2 5 2" xfId="8952" xr:uid="{AFDA1864-CA32-42C9-8959-034F2CB09B39}"/>
    <cellStyle name="Normal 5 2 2 2 5 3" xfId="8953" xr:uid="{7AB83A40-2E8E-46C2-9769-8DF055D2087A}"/>
    <cellStyle name="Normal 5 2 2 2 6" xfId="8954" xr:uid="{1C0B07E7-A720-4D1F-9ECB-B5BE2F50FF63}"/>
    <cellStyle name="Normal 5 2 2 2 7" xfId="8955" xr:uid="{E4F8502A-3171-4657-8594-D1D0456F2046}"/>
    <cellStyle name="Normal 5 2 2 2 8" xfId="8956" xr:uid="{2CA7C466-2F1D-4ECA-9778-D599D7350317}"/>
    <cellStyle name="Normal 5 2 2 3" xfId="8957" xr:uid="{41DF8EDF-CC42-441D-B289-C2671185C11E}"/>
    <cellStyle name="Normal 5 2 2 3 2" xfId="8958" xr:uid="{AE701003-9A68-4414-83CE-2CE73B7A39E4}"/>
    <cellStyle name="Normal 5 2 2 3 2 2" xfId="8959" xr:uid="{7744AF53-86C8-44C8-89A8-3B419C3DDBBB}"/>
    <cellStyle name="Normal 5 2 2 3 2 2 2" xfId="8960" xr:uid="{9DBDEB2E-DE56-4247-B9C2-E3BC919A12DC}"/>
    <cellStyle name="Normal 5 2 2 3 2 2 3" xfId="8961" xr:uid="{18D5487C-05DD-4FC9-AD0F-4EE13854A07D}"/>
    <cellStyle name="Normal 5 2 2 3 2 3" xfId="8962" xr:uid="{F22A84F5-9FE6-40F3-B281-BFFCC5322491}"/>
    <cellStyle name="Normal 5 2 2 3 2 4" xfId="8963" xr:uid="{3A09F903-742D-4D03-9026-2CD53A27B6E3}"/>
    <cellStyle name="Normal 5 2 2 3 2 5" xfId="8964" xr:uid="{0DA3FB3A-9BB6-43D4-91CB-AC5E5330A5D8}"/>
    <cellStyle name="Normal 5 2 2 3 3" xfId="8965" xr:uid="{BE22ADC8-81C0-4E3A-B881-43D1EA1A4C48}"/>
    <cellStyle name="Normal 5 2 2 3 3 2" xfId="8966" xr:uid="{55A44E2E-9976-44CD-9776-18E3802E52F5}"/>
    <cellStyle name="Normal 5 2 2 3 3 2 2" xfId="8967" xr:uid="{2757028E-2CB3-486D-948E-56E08CF96497}"/>
    <cellStyle name="Normal 5 2 2 3 3 2 3" xfId="8968" xr:uid="{EA942CF1-D2EF-4FFF-B151-0500ED851462}"/>
    <cellStyle name="Normal 5 2 2 3 3 3" xfId="8969" xr:uid="{BC023E38-7280-45F5-AD79-A0D6190E8006}"/>
    <cellStyle name="Normal 5 2 2 3 3 4" xfId="8970" xr:uid="{03175716-2F13-4EA4-8367-6B02B71FFF76}"/>
    <cellStyle name="Normal 5 2 2 3 3 5" xfId="8971" xr:uid="{3A139D31-9B36-4720-B20B-CC1A0B7E78F6}"/>
    <cellStyle name="Normal 5 2 2 3 4" xfId="8972" xr:uid="{8A306268-1116-4123-9B65-231FE6817837}"/>
    <cellStyle name="Normal 5 2 2 3 4 2" xfId="8973" xr:uid="{CF0BEAA1-BB2C-46EB-B046-4C4EEAF551C2}"/>
    <cellStyle name="Normal 5 2 2 3 4 3" xfId="8974" xr:uid="{23CEDE4A-9A36-4734-B590-18FE00BFF4CF}"/>
    <cellStyle name="Normal 5 2 2 3 5" xfId="8975" xr:uid="{34182BC1-9F5A-4277-8FD5-73EA4A53B88D}"/>
    <cellStyle name="Normal 5 2 2 3 6" xfId="8976" xr:uid="{42248FA0-4E6C-4888-AA16-A540C54C71B2}"/>
    <cellStyle name="Normal 5 2 2 3 7" xfId="8977" xr:uid="{D43BFE83-F7FA-4E3C-B33E-87CED978B7FF}"/>
    <cellStyle name="Normal 5 2 2 4" xfId="8978" xr:uid="{1542C578-7C40-4672-B440-DD550F592C50}"/>
    <cellStyle name="Normal 5 2 2 4 2" xfId="8979" xr:uid="{1828F9B6-023D-47FD-8618-E672CCC10B17}"/>
    <cellStyle name="Normal 5 2 2 4 2 2" xfId="8980" xr:uid="{A662D490-DBE6-4501-878F-B0DA1DEBD4F3}"/>
    <cellStyle name="Normal 5 2 2 4 2 3" xfId="8981" xr:uid="{3FE6D054-AD22-4CD3-9145-043933B9C2F1}"/>
    <cellStyle name="Normal 5 2 2 4 3" xfId="8982" xr:uid="{ED815624-85AA-44C4-ADD9-A47A912FCA6E}"/>
    <cellStyle name="Normal 5 2 2 4 4" xfId="8983" xr:uid="{B94CCE94-C583-4197-A999-5B75115434E0}"/>
    <cellStyle name="Normal 5 2 2 4 5" xfId="8984" xr:uid="{A4B2DB27-C082-4A37-A0C3-54FDD057718A}"/>
    <cellStyle name="Normal 5 2 2 5" xfId="8985" xr:uid="{49B1E1AF-66BB-4F85-841A-1DE18B32E2E1}"/>
    <cellStyle name="Normal 5 2 2 5 2" xfId="8986" xr:uid="{75C21480-D920-4CA7-9976-C6D232C8E7EF}"/>
    <cellStyle name="Normal 5 2 2 5 2 2" xfId="8987" xr:uid="{2CE531DE-DC6B-418F-874B-73E885435A8F}"/>
    <cellStyle name="Normal 5 2 2 5 2 3" xfId="8988" xr:uid="{E8DF6407-0469-4AC4-AEEB-EA40AC497044}"/>
    <cellStyle name="Normal 5 2 2 5 3" xfId="8989" xr:uid="{7ED765DC-E38E-46ED-82CD-657C371C4912}"/>
    <cellStyle name="Normal 5 2 2 5 4" xfId="8990" xr:uid="{59101C13-3AA6-485A-8EDE-189A849FB22B}"/>
    <cellStyle name="Normal 5 2 2 5 5" xfId="8991" xr:uid="{FA9358F5-C8C2-42EA-9D68-322303174771}"/>
    <cellStyle name="Normal 5 2 2 6" xfId="8992" xr:uid="{EEC9EF30-11E5-4511-B0D5-86DCB0F7B805}"/>
    <cellStyle name="Normal 5 2 2 6 2" xfId="8993" xr:uid="{D3B6EB8E-73E2-4526-A624-0927E02BD47B}"/>
    <cellStyle name="Normal 5 2 2 6 3" xfId="8994" xr:uid="{28B56712-3417-4C2C-836D-D247A8B811CA}"/>
    <cellStyle name="Normal 5 2 2 7" xfId="8995" xr:uid="{F1749EAC-89F6-42F6-A3D9-625F3F949B37}"/>
    <cellStyle name="Normal 5 2 2 8" xfId="8996" xr:uid="{4BBB23FB-C714-4655-BE89-AB696033B786}"/>
    <cellStyle name="Normal 5 2 2 9" xfId="8997" xr:uid="{FACAC697-C8D8-48F2-ABA3-16D858B98FFE}"/>
    <cellStyle name="Normal 5 2 3" xfId="8998" xr:uid="{17AE28C9-F220-49FC-B4E8-C0CC9578D255}"/>
    <cellStyle name="Normal 5 2 3 2" xfId="8999" xr:uid="{69A7780D-3F53-4111-AF91-3AE3F217EFAB}"/>
    <cellStyle name="Normal 5 2 3 2 2" xfId="9000" xr:uid="{64EAE1C7-752F-44D4-BC82-173B054DB2A8}"/>
    <cellStyle name="Normal 5 2 3 2 2 2" xfId="9001" xr:uid="{DAA2E89F-5039-4155-B8EC-9740CE96E270}"/>
    <cellStyle name="Normal 5 2 3 2 2 2 2" xfId="9002" xr:uid="{280FEF68-008F-43DF-82CC-D51746DA5F33}"/>
    <cellStyle name="Normal 5 2 3 2 2 2 2 2" xfId="9003" xr:uid="{645DC42B-0318-4F59-A5BD-0F50520318EF}"/>
    <cellStyle name="Normal 5 2 3 2 2 2 2 3" xfId="9004" xr:uid="{1F7D6963-AC2C-4DF4-9405-DD852D230D67}"/>
    <cellStyle name="Normal 5 2 3 2 2 2 3" xfId="9005" xr:uid="{4EAC8607-6690-426C-872C-E0263CFCAA33}"/>
    <cellStyle name="Normal 5 2 3 2 2 2 4" xfId="9006" xr:uid="{CF995C53-74FD-4596-997C-812958631DBD}"/>
    <cellStyle name="Normal 5 2 3 2 2 2 5" xfId="9007" xr:uid="{819A4A02-5632-4C95-9516-CAE9DA85F840}"/>
    <cellStyle name="Normal 5 2 3 2 2 3" xfId="9008" xr:uid="{CE2C90EE-1D4E-47AC-9905-2A8BEBD1D77C}"/>
    <cellStyle name="Normal 5 2 3 2 2 3 2" xfId="9009" xr:uid="{E8B7D6A1-8E63-49A6-9776-491DF3BD73BE}"/>
    <cellStyle name="Normal 5 2 3 2 2 3 2 2" xfId="9010" xr:uid="{8D0A5FDD-1A0E-41FE-ABD6-1F03DEB1C70E}"/>
    <cellStyle name="Normal 5 2 3 2 2 3 2 3" xfId="9011" xr:uid="{14CB74D4-0445-4E8F-9D6A-BCA52B448FE7}"/>
    <cellStyle name="Normal 5 2 3 2 2 3 3" xfId="9012" xr:uid="{8383AFFD-EFC2-4438-A710-1359C70AAE9C}"/>
    <cellStyle name="Normal 5 2 3 2 2 3 4" xfId="9013" xr:uid="{2934F385-9F8C-4E4D-AE3B-C049D766738D}"/>
    <cellStyle name="Normal 5 2 3 2 2 3 5" xfId="9014" xr:uid="{8977A31F-6A96-4812-83CA-46F88D6FCE08}"/>
    <cellStyle name="Normal 5 2 3 2 2 4" xfId="9015" xr:uid="{6EDCF40A-55F2-4D8C-A68E-97C17B054DF9}"/>
    <cellStyle name="Normal 5 2 3 2 2 4 2" xfId="9016" xr:uid="{98140FE4-7D27-4B89-8E09-7C40984B7213}"/>
    <cellStyle name="Normal 5 2 3 2 2 4 3" xfId="9017" xr:uid="{D33E2996-8287-4DC9-9BBC-401D088D29D7}"/>
    <cellStyle name="Normal 5 2 3 2 2 5" xfId="9018" xr:uid="{1C2181E5-2DE0-4B21-9A76-ADDEF5D0D526}"/>
    <cellStyle name="Normal 5 2 3 2 2 6" xfId="9019" xr:uid="{34A75266-3223-46BB-AF27-CC5414E9B05A}"/>
    <cellStyle name="Normal 5 2 3 2 2 7" xfId="9020" xr:uid="{212DB4AD-CA58-4D99-ACB2-BA6A1F1136AE}"/>
    <cellStyle name="Normal 5 2 3 2 3" xfId="9021" xr:uid="{9DEF3D4B-C2D9-4864-AB9B-4BCA7FC67220}"/>
    <cellStyle name="Normal 5 2 3 2 3 2" xfId="9022" xr:uid="{5686B14C-2E68-4856-A34A-52A4597776DE}"/>
    <cellStyle name="Normal 5 2 3 2 3 2 2" xfId="9023" xr:uid="{73E2E789-65C4-4940-AC93-A1046CAA8F62}"/>
    <cellStyle name="Normal 5 2 3 2 3 2 3" xfId="9024" xr:uid="{512C0208-3475-400E-92AF-45FBDA1BF277}"/>
    <cellStyle name="Normal 5 2 3 2 3 3" xfId="9025" xr:uid="{1180B039-748F-4990-9AFE-02A1C961BCE1}"/>
    <cellStyle name="Normal 5 2 3 2 3 4" xfId="9026" xr:uid="{1DA4A973-7E2F-4532-BA93-5EE2C811EA1F}"/>
    <cellStyle name="Normal 5 2 3 2 3 5" xfId="9027" xr:uid="{83353908-A32A-4BB1-A9BA-BC3F9B645116}"/>
    <cellStyle name="Normal 5 2 3 2 4" xfId="9028" xr:uid="{08B7CC32-057B-45B9-A963-1C41FF27BE1A}"/>
    <cellStyle name="Normal 5 2 3 2 4 2" xfId="9029" xr:uid="{7192CE85-FC6F-4F34-8821-C6C71ADCB929}"/>
    <cellStyle name="Normal 5 2 3 2 4 2 2" xfId="9030" xr:uid="{14B916A0-0FE6-4129-9295-5C147E07196B}"/>
    <cellStyle name="Normal 5 2 3 2 4 2 3" xfId="9031" xr:uid="{9494E9F1-75E9-436D-A7B8-EB5F20AA529F}"/>
    <cellStyle name="Normal 5 2 3 2 4 3" xfId="9032" xr:uid="{B01B94B6-A7A9-4AEC-BEF9-D465BEAB03B9}"/>
    <cellStyle name="Normal 5 2 3 2 4 4" xfId="9033" xr:uid="{D255207D-7E52-4288-B381-B23A97EA1A57}"/>
    <cellStyle name="Normal 5 2 3 2 4 5" xfId="9034" xr:uid="{C94E9A1E-587F-408D-8A2D-4501FF8A0C7D}"/>
    <cellStyle name="Normal 5 2 3 2 5" xfId="9035" xr:uid="{BFD32835-E8EE-485C-BEC8-60D9445AF5BD}"/>
    <cellStyle name="Normal 5 2 3 2 5 2" xfId="9036" xr:uid="{49FD2E90-B643-4BC8-826B-14A0792AA0C5}"/>
    <cellStyle name="Normal 5 2 3 2 5 3" xfId="9037" xr:uid="{834D3E57-D793-4CD7-85D1-2E444D750142}"/>
    <cellStyle name="Normal 5 2 3 2 6" xfId="9038" xr:uid="{A3BEDE56-7797-4D3E-B1AA-57F5A1BEB9DC}"/>
    <cellStyle name="Normal 5 2 3 2 7" xfId="9039" xr:uid="{4E7067E7-19EF-4222-B75F-C06E1303D74C}"/>
    <cellStyle name="Normal 5 2 3 2 8" xfId="9040" xr:uid="{C5BFFE82-06FA-4286-A81F-8FA93602A82C}"/>
    <cellStyle name="Normal 5 2 3 3" xfId="9041" xr:uid="{EF1F312C-C69D-4BBE-AF9B-B3DE3DC2E47D}"/>
    <cellStyle name="Normal 5 2 3 3 2" xfId="9042" xr:uid="{D0834D49-A76D-4FC1-93EB-57E055552FA2}"/>
    <cellStyle name="Normal 5 2 3 3 2 2" xfId="9043" xr:uid="{217791C0-1EBD-4F98-A447-16B30000E0D8}"/>
    <cellStyle name="Normal 5 2 3 3 2 2 2" xfId="9044" xr:uid="{C953E52D-8563-40DE-82BB-9D0A76BBF8A7}"/>
    <cellStyle name="Normal 5 2 3 3 2 2 3" xfId="9045" xr:uid="{EBC3E273-B798-4F30-8C6E-4D9760593409}"/>
    <cellStyle name="Normal 5 2 3 3 2 3" xfId="9046" xr:uid="{86257632-D943-4123-8398-E1775BC9ECC9}"/>
    <cellStyle name="Normal 5 2 3 3 2 4" xfId="9047" xr:uid="{2408D21F-EDFA-4385-9296-68856974E606}"/>
    <cellStyle name="Normal 5 2 3 3 2 5" xfId="9048" xr:uid="{62DFE274-1ABF-4940-9DCE-4C37F6A8805B}"/>
    <cellStyle name="Normal 5 2 3 3 3" xfId="9049" xr:uid="{2B045885-C17A-497E-B99E-B547F3A320B1}"/>
    <cellStyle name="Normal 5 2 3 3 3 2" xfId="9050" xr:uid="{232ED932-DCAC-4D74-BB17-D570D6C77D29}"/>
    <cellStyle name="Normal 5 2 3 3 3 2 2" xfId="9051" xr:uid="{00EEC6C6-DC62-4ABA-AD54-B58AFEF4A381}"/>
    <cellStyle name="Normal 5 2 3 3 3 2 3" xfId="9052" xr:uid="{63D60251-77D7-4C47-AB04-F27830B06524}"/>
    <cellStyle name="Normal 5 2 3 3 3 3" xfId="9053" xr:uid="{6A4D01F1-23F1-47BD-A625-04176817EB31}"/>
    <cellStyle name="Normal 5 2 3 3 3 4" xfId="9054" xr:uid="{41BDC1AC-974D-4CA8-AEB7-695E07583791}"/>
    <cellStyle name="Normal 5 2 3 3 3 5" xfId="9055" xr:uid="{95E03235-05A5-4803-B10A-6477E0887199}"/>
    <cellStyle name="Normal 5 2 3 3 4" xfId="9056" xr:uid="{9180422D-41C6-47EF-A7F4-75B837EA2694}"/>
    <cellStyle name="Normal 5 2 3 3 4 2" xfId="9057" xr:uid="{893D8010-B231-4DD0-B09B-2716A012CEB8}"/>
    <cellStyle name="Normal 5 2 3 3 4 3" xfId="9058" xr:uid="{E4FF9A2A-8B2F-4420-B0B4-AEA94882ECD3}"/>
    <cellStyle name="Normal 5 2 3 3 5" xfId="9059" xr:uid="{76E3B1D2-6106-4147-97D4-655BFE95BB70}"/>
    <cellStyle name="Normal 5 2 3 3 6" xfId="9060" xr:uid="{80BF6442-3DB4-4ACA-A2F5-0EAFFE57D6EB}"/>
    <cellStyle name="Normal 5 2 3 3 7" xfId="9061" xr:uid="{79B46A46-4A52-499E-846C-58A365EEC3DF}"/>
    <cellStyle name="Normal 5 2 3 4" xfId="9062" xr:uid="{AD4405A1-B55A-4119-8875-3578036BDE52}"/>
    <cellStyle name="Normal 5 2 3 4 2" xfId="9063" xr:uid="{BAC54AD7-0A99-4A37-B262-2B2DD95C7A86}"/>
    <cellStyle name="Normal 5 2 3 4 2 2" xfId="9064" xr:uid="{BD4FB91C-767F-4367-AF5A-704B78DA0934}"/>
    <cellStyle name="Normal 5 2 3 4 2 3" xfId="9065" xr:uid="{77B47159-48A6-4319-A8FC-CE06EE2FF9FE}"/>
    <cellStyle name="Normal 5 2 3 4 3" xfId="9066" xr:uid="{6A255A38-F734-48B6-BA6F-BD0DC2BDACEF}"/>
    <cellStyle name="Normal 5 2 3 4 4" xfId="9067" xr:uid="{C30ACCBE-71DF-49FF-9D9E-A7E564227187}"/>
    <cellStyle name="Normal 5 2 3 4 5" xfId="9068" xr:uid="{2EE2AF25-538B-45B5-A3B4-7E390F286007}"/>
    <cellStyle name="Normal 5 2 3 5" xfId="9069" xr:uid="{5FB3EE6C-2658-45E4-8022-0B41E29645C3}"/>
    <cellStyle name="Normal 5 2 3 5 2" xfId="9070" xr:uid="{C2837CE9-2FD4-4B94-BB8A-3E1228C67BEB}"/>
    <cellStyle name="Normal 5 2 3 5 2 2" xfId="9071" xr:uid="{FDCCBE3A-6E5D-414F-B4D8-7B1EA3C97E2F}"/>
    <cellStyle name="Normal 5 2 3 5 2 3" xfId="9072" xr:uid="{B4AA4B89-AD89-4233-A00B-1005E3F74742}"/>
    <cellStyle name="Normal 5 2 3 5 3" xfId="9073" xr:uid="{D897611A-FBDC-48FB-B59D-C0C569C7C72C}"/>
    <cellStyle name="Normal 5 2 3 5 4" xfId="9074" xr:uid="{B6199320-AEF9-406B-A9B1-B4634D8C403A}"/>
    <cellStyle name="Normal 5 2 3 5 5" xfId="9075" xr:uid="{EBE5411D-66F4-4AE0-BF51-4B6D7DB0868E}"/>
    <cellStyle name="Normal 5 2 3 6" xfId="9076" xr:uid="{F5818A84-4307-471D-BFA5-681199CF8B71}"/>
    <cellStyle name="Normal 5 2 3 6 2" xfId="9077" xr:uid="{3A16939D-57FD-4B2D-B620-367379B4C75D}"/>
    <cellStyle name="Normal 5 2 3 6 3" xfId="9078" xr:uid="{205C040A-45DC-419D-80BB-BE4FBF113B14}"/>
    <cellStyle name="Normal 5 2 3 7" xfId="9079" xr:uid="{B6DADDE7-0D8F-4ACD-A27E-6F8DE8611A8A}"/>
    <cellStyle name="Normal 5 2 3 8" xfId="9080" xr:uid="{0FAB187F-6954-42F7-8946-A3B442F09855}"/>
    <cellStyle name="Normal 5 2 3 9" xfId="9081" xr:uid="{686B4843-F0C0-4854-BE9F-B98D0CE113F7}"/>
    <cellStyle name="Normal 5 2 4" xfId="9082" xr:uid="{FD68102E-6CA0-4A80-83B0-573B788CADED}"/>
    <cellStyle name="Normal 5 2 4 2" xfId="9083" xr:uid="{863C2CBD-B600-4042-A147-736112FEF9AD}"/>
    <cellStyle name="Normal 5 2 4 2 2" xfId="9084" xr:uid="{4D69ACA6-E9BA-40A8-8BB8-D81AB38F95B1}"/>
    <cellStyle name="Normal 5 2 4 2 2 2" xfId="9085" xr:uid="{3302B275-101F-4BD6-953A-127B1A0238FF}"/>
    <cellStyle name="Normal 5 2 4 2 2 2 2" xfId="9086" xr:uid="{2525C014-4D9A-4BDC-8028-38F5C5F7DD5E}"/>
    <cellStyle name="Normal 5 2 4 2 2 2 2 2" xfId="9087" xr:uid="{7A1301AB-62F5-4E43-B480-6EE8C3DBEEA1}"/>
    <cellStyle name="Normal 5 2 4 2 2 2 2 3" xfId="9088" xr:uid="{AB6C25F2-1DD0-498E-9C09-A788E7B8C1C4}"/>
    <cellStyle name="Normal 5 2 4 2 2 2 3" xfId="9089" xr:uid="{78E3F272-5FA7-4573-AB84-698B7E4517E1}"/>
    <cellStyle name="Normal 5 2 4 2 2 2 4" xfId="9090" xr:uid="{6EBD6ED1-A303-4D44-B196-AB82D11166B7}"/>
    <cellStyle name="Normal 5 2 4 2 2 2 5" xfId="9091" xr:uid="{54F2C70E-7476-41F5-8234-5A6DCF9A79B4}"/>
    <cellStyle name="Normal 5 2 4 2 2 3" xfId="9092" xr:uid="{AF02FE43-70CF-4CF2-B1C1-961B4F422814}"/>
    <cellStyle name="Normal 5 2 4 2 2 3 2" xfId="9093" xr:uid="{816E610E-81EB-48B4-A81C-C3B2287AF934}"/>
    <cellStyle name="Normal 5 2 4 2 2 3 2 2" xfId="9094" xr:uid="{5047B389-063D-40DC-B686-5C87FD51B18D}"/>
    <cellStyle name="Normal 5 2 4 2 2 3 2 3" xfId="9095" xr:uid="{9F1A26C7-51C6-46C3-A4D8-F12E0E90471A}"/>
    <cellStyle name="Normal 5 2 4 2 2 3 3" xfId="9096" xr:uid="{D2DB5F07-DF2A-425A-82BA-32CA696B44B0}"/>
    <cellStyle name="Normal 5 2 4 2 2 3 4" xfId="9097" xr:uid="{ECC426C0-4B98-48E8-AA2A-419C2AD209FE}"/>
    <cellStyle name="Normal 5 2 4 2 2 3 5" xfId="9098" xr:uid="{46A1E0E7-C8C1-48AE-91DB-42DD92448F0A}"/>
    <cellStyle name="Normal 5 2 4 2 2 4" xfId="9099" xr:uid="{9F104F18-A5FA-4E67-8CDD-4C66A528C4E0}"/>
    <cellStyle name="Normal 5 2 4 2 2 4 2" xfId="9100" xr:uid="{467E01CF-1726-4347-AFCD-6723970C49DD}"/>
    <cellStyle name="Normal 5 2 4 2 2 4 3" xfId="9101" xr:uid="{9E989363-1766-4679-A5D2-172AEDEB6BFC}"/>
    <cellStyle name="Normal 5 2 4 2 2 5" xfId="9102" xr:uid="{5FBD0C5D-5D42-4BF9-B956-9F9C20E12294}"/>
    <cellStyle name="Normal 5 2 4 2 2 6" xfId="9103" xr:uid="{32C2F107-3B07-4ADF-8AA7-094797CECFCB}"/>
    <cellStyle name="Normal 5 2 4 2 2 7" xfId="9104" xr:uid="{502BF652-F6CE-4D6D-AF60-0908816775F3}"/>
    <cellStyle name="Normal 5 2 4 2 3" xfId="9105" xr:uid="{5E7ADF29-3ECA-4947-ABBC-862405BB6DAB}"/>
    <cellStyle name="Normal 5 2 4 2 3 2" xfId="9106" xr:uid="{B4FF5EF8-E510-476A-8EB9-99DD403410B0}"/>
    <cellStyle name="Normal 5 2 4 2 3 2 2" xfId="9107" xr:uid="{E46BE3F1-5C41-4C95-AB95-AB175428BE74}"/>
    <cellStyle name="Normal 5 2 4 2 3 2 3" xfId="9108" xr:uid="{AC5F717A-C288-4D38-AA2B-64350ACDE5FC}"/>
    <cellStyle name="Normal 5 2 4 2 3 3" xfId="9109" xr:uid="{B880CE9D-83E4-4773-9059-2BC78DF7A150}"/>
    <cellStyle name="Normal 5 2 4 2 3 4" xfId="9110" xr:uid="{138B41AC-05A2-4C22-93E3-976BBAA4C402}"/>
    <cellStyle name="Normal 5 2 4 2 3 5" xfId="9111" xr:uid="{BB43FF0F-028E-4DB2-9459-1A085BA29BE1}"/>
    <cellStyle name="Normal 5 2 4 2 4" xfId="9112" xr:uid="{9F3265E2-C873-435A-AA7E-4DAA1867FF4F}"/>
    <cellStyle name="Normal 5 2 4 2 4 2" xfId="9113" xr:uid="{2B7E15C9-DC5F-45C2-9F37-B63DCCCF16A6}"/>
    <cellStyle name="Normal 5 2 4 2 4 2 2" xfId="9114" xr:uid="{792FC9B9-EEA2-40A2-86EA-9A702E5110AF}"/>
    <cellStyle name="Normal 5 2 4 2 4 2 3" xfId="9115" xr:uid="{1132E66F-CC7B-462E-84D6-D2F13B19AD16}"/>
    <cellStyle name="Normal 5 2 4 2 4 3" xfId="9116" xr:uid="{6B9C97BA-9D73-4989-997A-7D2164855674}"/>
    <cellStyle name="Normal 5 2 4 2 4 4" xfId="9117" xr:uid="{BE035E67-EFF2-41A4-B7BF-1F814F51D0E5}"/>
    <cellStyle name="Normal 5 2 4 2 4 5" xfId="9118" xr:uid="{74660F0E-9700-435F-920B-3900D2A7276D}"/>
    <cellStyle name="Normal 5 2 4 2 5" xfId="9119" xr:uid="{171F054D-E250-4950-A248-3EE3AF7F9370}"/>
    <cellStyle name="Normal 5 2 4 2 5 2" xfId="9120" xr:uid="{752DDA64-2C44-4A21-ABC8-B7FC99453802}"/>
    <cellStyle name="Normal 5 2 4 2 5 3" xfId="9121" xr:uid="{EC41A553-E98B-4D4B-B9B3-31E103C5998F}"/>
    <cellStyle name="Normal 5 2 4 2 6" xfId="9122" xr:uid="{726C4864-990A-4DE8-A607-BF4478E10490}"/>
    <cellStyle name="Normal 5 2 4 2 7" xfId="9123" xr:uid="{F725D73B-A5E5-49C9-9478-C7A40B59D11C}"/>
    <cellStyle name="Normal 5 2 4 2 8" xfId="9124" xr:uid="{B904A284-9794-4CC0-BCAD-BB2E8F45C4B2}"/>
    <cellStyle name="Normal 5 2 4 3" xfId="9125" xr:uid="{9E5D6BFE-3ED3-4AD5-8E67-E63AEBB03696}"/>
    <cellStyle name="Normal 5 2 4 3 2" xfId="9126" xr:uid="{51AC6AC5-2DFF-41B2-81C9-4A66146D76F9}"/>
    <cellStyle name="Normal 5 2 4 3 2 2" xfId="9127" xr:uid="{C8D6F36A-6A28-459A-8E74-A5B25C07A764}"/>
    <cellStyle name="Normal 5 2 4 3 2 2 2" xfId="9128" xr:uid="{75654D80-B7E3-4610-B101-ED5A3C7AA903}"/>
    <cellStyle name="Normal 5 2 4 3 2 2 3" xfId="9129" xr:uid="{0DC6D6B5-E56E-4D39-99D8-2DE7F1FCD47C}"/>
    <cellStyle name="Normal 5 2 4 3 2 3" xfId="9130" xr:uid="{54D7D5E1-A3CF-460B-A7BD-3B06349BF433}"/>
    <cellStyle name="Normal 5 2 4 3 2 4" xfId="9131" xr:uid="{F31EAD58-6ECB-4F85-A8EF-52010D0C2E7C}"/>
    <cellStyle name="Normal 5 2 4 3 2 5" xfId="9132" xr:uid="{BF552116-53EB-4F01-8BB3-259DEC822A72}"/>
    <cellStyle name="Normal 5 2 4 3 3" xfId="9133" xr:uid="{ECF8A537-EAA2-4A18-B60E-A9317E82C512}"/>
    <cellStyle name="Normal 5 2 4 3 3 2" xfId="9134" xr:uid="{BAF94C52-CBFD-4874-A7DA-C4CBB3389A34}"/>
    <cellStyle name="Normal 5 2 4 3 3 2 2" xfId="9135" xr:uid="{E66F7947-192C-4575-946A-FEC3A0D7C625}"/>
    <cellStyle name="Normal 5 2 4 3 3 2 3" xfId="9136" xr:uid="{94C809F3-6B2C-4A1B-8C63-D2EC3F072E43}"/>
    <cellStyle name="Normal 5 2 4 3 3 3" xfId="9137" xr:uid="{128503C3-1C3F-48FF-8411-555087E81243}"/>
    <cellStyle name="Normal 5 2 4 3 3 4" xfId="9138" xr:uid="{B73473C1-EFC4-41C4-8FD0-F5E58FAE1A99}"/>
    <cellStyle name="Normal 5 2 4 3 3 5" xfId="9139" xr:uid="{C706CB35-176B-4281-B0F8-3C67720D224A}"/>
    <cellStyle name="Normal 5 2 4 3 4" xfId="9140" xr:uid="{8D43A447-CC1C-44A8-8E5A-92B56E9EFC1E}"/>
    <cellStyle name="Normal 5 2 4 3 4 2" xfId="9141" xr:uid="{3FBE05AB-FC86-4835-BA1E-F93F908BC690}"/>
    <cellStyle name="Normal 5 2 4 3 4 3" xfId="9142" xr:uid="{0CFE5117-780D-49B3-9E90-37B4E863D519}"/>
    <cellStyle name="Normal 5 2 4 3 5" xfId="9143" xr:uid="{1AFEE2BA-F138-4FBA-97E3-88814919CF80}"/>
    <cellStyle name="Normal 5 2 4 3 6" xfId="9144" xr:uid="{D18E0F3C-D6AA-4428-8455-E6CA3E8F784E}"/>
    <cellStyle name="Normal 5 2 4 3 7" xfId="9145" xr:uid="{3F6C9C3F-C9A8-4C01-9AAB-D881DFACBCD1}"/>
    <cellStyle name="Normal 5 2 4 4" xfId="9146" xr:uid="{E654E274-5642-414B-92D4-71ABD9527828}"/>
    <cellStyle name="Normal 5 2 4 4 2" xfId="9147" xr:uid="{B4D75CDF-C4CB-4912-9330-9A1414B7934C}"/>
    <cellStyle name="Normal 5 2 4 4 2 2" xfId="9148" xr:uid="{07F2F061-1488-453A-A0DB-ABF153957369}"/>
    <cellStyle name="Normal 5 2 4 4 2 3" xfId="9149" xr:uid="{F47D2D72-C575-4654-A704-CDB09566E7E1}"/>
    <cellStyle name="Normal 5 2 4 4 3" xfId="9150" xr:uid="{9DC3A8FD-6FE0-4F59-9167-2BD58E7C43E9}"/>
    <cellStyle name="Normal 5 2 4 4 4" xfId="9151" xr:uid="{2FCD9C26-4797-4ADD-ACCA-3BDA760EF94D}"/>
    <cellStyle name="Normal 5 2 4 4 5" xfId="9152" xr:uid="{8DE47FD0-78CE-45A6-8614-0584D8B79FA6}"/>
    <cellStyle name="Normal 5 2 4 5" xfId="9153" xr:uid="{B27F4DB6-6638-4BAB-AFCA-824C6F43BC39}"/>
    <cellStyle name="Normal 5 2 4 5 2" xfId="9154" xr:uid="{8B9FB38F-C9DB-4A70-9AF5-E49E2B069FC0}"/>
    <cellStyle name="Normal 5 2 4 5 2 2" xfId="9155" xr:uid="{3136BFC0-AE18-4447-81DC-B1119B635CE5}"/>
    <cellStyle name="Normal 5 2 4 5 2 3" xfId="9156" xr:uid="{25D09117-BC24-4422-9031-E9E33A0309E6}"/>
    <cellStyle name="Normal 5 2 4 5 3" xfId="9157" xr:uid="{B815183D-C1CC-4B65-9EC0-5CBF0A292F66}"/>
    <cellStyle name="Normal 5 2 4 5 4" xfId="9158" xr:uid="{3254B900-2FA6-4B42-8C73-024944B7D2CE}"/>
    <cellStyle name="Normal 5 2 4 5 5" xfId="9159" xr:uid="{F02425C5-8EC4-479E-92E9-A2F5E035049D}"/>
    <cellStyle name="Normal 5 2 4 6" xfId="9160" xr:uid="{B802D63E-0442-44D3-8D6F-8EAE31AECD4D}"/>
    <cellStyle name="Normal 5 2 4 6 2" xfId="9161" xr:uid="{B9E216B9-D273-40CB-967D-AC361BA2ED25}"/>
    <cellStyle name="Normal 5 2 4 6 3" xfId="9162" xr:uid="{3DDFCA4F-1DDD-491E-9BCD-9F0D9E8A398E}"/>
    <cellStyle name="Normal 5 2 4 7" xfId="9163" xr:uid="{D4FF4F77-1115-4C77-926A-B96406238415}"/>
    <cellStyle name="Normal 5 2 4 8" xfId="9164" xr:uid="{F90C961E-F13D-4579-A926-23A8054A2409}"/>
    <cellStyle name="Normal 5 2 4 9" xfId="9165" xr:uid="{4B0D7028-F0F2-4866-B97C-9705403000C0}"/>
    <cellStyle name="Normal 5 2 5" xfId="9166" xr:uid="{B82D7D07-D132-44D3-9FF4-E6AFEDF71FE2}"/>
    <cellStyle name="Normal 5 2 5 2" xfId="9167" xr:uid="{67291F0C-9F69-4AD7-9D3F-BC48C528353C}"/>
    <cellStyle name="Normal 5 2 5 2 2" xfId="9168" xr:uid="{3C326C88-8A77-47AF-A9F8-F066E169CF19}"/>
    <cellStyle name="Normal 5 2 5 2 2 2" xfId="9169" xr:uid="{EBB5DD18-C494-4C23-8835-B3BACED70CF3}"/>
    <cellStyle name="Normal 5 2 5 2 2 2 2" xfId="9170" xr:uid="{81F309A0-049D-4E97-9897-5CFEF386B3EA}"/>
    <cellStyle name="Normal 5 2 5 2 2 2 3" xfId="9171" xr:uid="{8953F4CE-8F0F-4687-9D41-B24FBF72FF00}"/>
    <cellStyle name="Normal 5 2 5 2 2 3" xfId="9172" xr:uid="{EAEE6D2F-A544-4B48-BD5A-60AF9C897D9B}"/>
    <cellStyle name="Normal 5 2 5 2 2 4" xfId="9173" xr:uid="{CA334C41-361A-4C0A-952A-BAD952412DFD}"/>
    <cellStyle name="Normal 5 2 5 2 2 5" xfId="9174" xr:uid="{B5DDE72B-270E-486A-AB8C-B700D2F99FAA}"/>
    <cellStyle name="Normal 5 2 5 2 3" xfId="9175" xr:uid="{2A6A4581-5A14-40AD-8F34-7B1F3FD6847D}"/>
    <cellStyle name="Normal 5 2 5 2 3 2" xfId="9176" xr:uid="{8FAAEA8B-076F-4CA2-B731-C1D4F9C83183}"/>
    <cellStyle name="Normal 5 2 5 2 3 2 2" xfId="9177" xr:uid="{280FE2D1-49B5-4D56-A4DD-DEB805E627F5}"/>
    <cellStyle name="Normal 5 2 5 2 3 2 3" xfId="9178" xr:uid="{31448399-913F-4E7C-8073-943B2198FA18}"/>
    <cellStyle name="Normal 5 2 5 2 3 3" xfId="9179" xr:uid="{BB5EDE32-B8B1-4E66-A93D-222A3EAAC602}"/>
    <cellStyle name="Normal 5 2 5 2 3 4" xfId="9180" xr:uid="{562E44CC-0601-4A1E-83AE-055510F1E628}"/>
    <cellStyle name="Normal 5 2 5 2 3 5" xfId="9181" xr:uid="{0352D705-B325-4C53-80C0-72A81780DF0F}"/>
    <cellStyle name="Normal 5 2 5 2 4" xfId="9182" xr:uid="{0AFB7C63-23B2-4F39-AD6C-06AFEF4BE6ED}"/>
    <cellStyle name="Normal 5 2 5 2 4 2" xfId="9183" xr:uid="{02543BDC-B3DC-4309-86C4-84A1B43B1A0E}"/>
    <cellStyle name="Normal 5 2 5 2 4 3" xfId="9184" xr:uid="{CE5D4A83-DDA0-4066-9202-5A4467847C70}"/>
    <cellStyle name="Normal 5 2 5 2 5" xfId="9185" xr:uid="{2B41B2DD-6B2B-49FC-916C-5AEEC63E0FC7}"/>
    <cellStyle name="Normal 5 2 5 2 6" xfId="9186" xr:uid="{4C07A5AA-D01C-457E-900E-0B22C7122F0A}"/>
    <cellStyle name="Normal 5 2 5 2 7" xfId="9187" xr:uid="{6B3EE308-784C-4BE6-A058-882B7AEA11CF}"/>
    <cellStyle name="Normal 5 2 5 3" xfId="9188" xr:uid="{45B7297F-B05C-4AF7-A528-13416CB4D2B8}"/>
    <cellStyle name="Normal 5 2 5 3 2" xfId="9189" xr:uid="{0F7D3B7A-2DD6-479B-AEAC-84517E8EDD17}"/>
    <cellStyle name="Normal 5 2 5 3 2 2" xfId="9190" xr:uid="{3091E95D-9463-44EF-A0F7-9DC7AFCED2E3}"/>
    <cellStyle name="Normal 5 2 5 3 2 3" xfId="9191" xr:uid="{66DE2735-AD56-4BC5-82C5-CA346A328031}"/>
    <cellStyle name="Normal 5 2 5 3 3" xfId="9192" xr:uid="{6E27B58B-1286-4028-BCFA-61679FDE03F0}"/>
    <cellStyle name="Normal 5 2 5 3 4" xfId="9193" xr:uid="{789FE795-964E-4994-895F-8E814CEBEB10}"/>
    <cellStyle name="Normal 5 2 5 3 5" xfId="9194" xr:uid="{978BAC08-0BD9-46DB-B5B5-6B1039DDFE1A}"/>
    <cellStyle name="Normal 5 2 5 4" xfId="9195" xr:uid="{470E3E2D-9A51-4874-9576-BDF76F683C46}"/>
    <cellStyle name="Normal 5 2 5 4 2" xfId="9196" xr:uid="{DA55BE08-D8B1-489A-8B35-DC84CE5AFF9B}"/>
    <cellStyle name="Normal 5 2 5 4 2 2" xfId="9197" xr:uid="{BB5D01D5-BA63-48A8-A967-D5378ABE40A5}"/>
    <cellStyle name="Normal 5 2 5 4 2 3" xfId="9198" xr:uid="{B4AD0BC3-FE5F-43B7-B369-1124D8E3F2D5}"/>
    <cellStyle name="Normal 5 2 5 4 3" xfId="9199" xr:uid="{E5F3FEE4-D0C8-4951-9E46-1DE0E86AE1A7}"/>
    <cellStyle name="Normal 5 2 5 4 4" xfId="9200" xr:uid="{0D9023FD-43AC-4DA8-84D8-723F550AED0A}"/>
    <cellStyle name="Normal 5 2 5 4 5" xfId="9201" xr:uid="{85B6A99B-F4BE-417F-8A81-75EF7E963994}"/>
    <cellStyle name="Normal 5 2 5 5" xfId="9202" xr:uid="{D9CCC956-9DD3-4E6D-93FA-CE1885C9E6AC}"/>
    <cellStyle name="Normal 5 2 5 5 2" xfId="9203" xr:uid="{6ED08DCF-F8CE-4298-BFDC-29DA214624F6}"/>
    <cellStyle name="Normal 5 2 5 5 3" xfId="9204" xr:uid="{D1724C10-B7DE-4A70-BAF5-04E8A51033E1}"/>
    <cellStyle name="Normal 5 2 5 6" xfId="9205" xr:uid="{C0CD61BA-8928-4121-A3A4-1874C6A1D9A3}"/>
    <cellStyle name="Normal 5 2 5 7" xfId="9206" xr:uid="{269AAA64-7355-4688-8B95-609253285582}"/>
    <cellStyle name="Normal 5 2 5 8" xfId="9207" xr:uid="{C7886057-EED6-47C8-9CC6-6F024DB9CF13}"/>
    <cellStyle name="Normal 5 2 6" xfId="9208" xr:uid="{A216625A-AA18-487C-9161-40D021E8C9B7}"/>
    <cellStyle name="Normal 5 2 6 2" xfId="9209" xr:uid="{1CC5138C-3810-49FC-8412-26B28BE2A21D}"/>
    <cellStyle name="Normal 5 2 6 2 2" xfId="9210" xr:uid="{96A70555-21DB-4F91-BBE4-172151F374AE}"/>
    <cellStyle name="Normal 5 2 6 2 2 2" xfId="9211" xr:uid="{6783540E-B65C-4D31-8D7F-235E4B7980FA}"/>
    <cellStyle name="Normal 5 2 6 2 2 3" xfId="9212" xr:uid="{EFC84811-F2A3-4702-BB9F-51D4F0CA18EF}"/>
    <cellStyle name="Normal 5 2 6 2 3" xfId="9213" xr:uid="{78CF77AC-B010-4CCF-9B84-EE2778CCC65C}"/>
    <cellStyle name="Normal 5 2 6 2 4" xfId="9214" xr:uid="{F5E87965-B72B-46F7-82D8-6E1338F8A091}"/>
    <cellStyle name="Normal 5 2 6 2 5" xfId="9215" xr:uid="{2566B641-6146-4574-9A1F-C11D6BAB22AC}"/>
    <cellStyle name="Normal 5 2 6 3" xfId="9216" xr:uid="{F10E36A1-78CD-4857-AC85-680134ECB0DD}"/>
    <cellStyle name="Normal 5 2 6 3 2" xfId="9217" xr:uid="{1B358E2F-FB32-4FB4-9B15-BC63255E098C}"/>
    <cellStyle name="Normal 5 2 6 3 2 2" xfId="9218" xr:uid="{C9630534-D26B-4FA9-9457-DB50FDE5F090}"/>
    <cellStyle name="Normal 5 2 6 3 2 3" xfId="9219" xr:uid="{8500762D-4DD0-4E01-A0BE-C46CE46DA531}"/>
    <cellStyle name="Normal 5 2 6 3 3" xfId="9220" xr:uid="{CCF7E0F8-BA24-418E-A1BB-D719EFC4E90F}"/>
    <cellStyle name="Normal 5 2 6 3 4" xfId="9221" xr:uid="{9CEDFAA8-1D5E-4582-A507-C319FF64556C}"/>
    <cellStyle name="Normal 5 2 6 3 5" xfId="9222" xr:uid="{363889B0-7398-481E-AC45-037C96D14E5E}"/>
    <cellStyle name="Normal 5 2 6 4" xfId="9223" xr:uid="{0665F19B-55DE-455B-9ABB-349C44006A4F}"/>
    <cellStyle name="Normal 5 2 6 4 2" xfId="9224" xr:uid="{ED105E6F-3BE8-431B-A232-C232F2ECCBC9}"/>
    <cellStyle name="Normal 5 2 6 4 3" xfId="9225" xr:uid="{D7298BBE-3349-44ED-B34B-779A92EAAC7F}"/>
    <cellStyle name="Normal 5 2 6 5" xfId="9226" xr:uid="{6053B799-FF55-47EF-8FAE-A51B29B5BEAF}"/>
    <cellStyle name="Normal 5 2 6 6" xfId="9227" xr:uid="{F35646EF-ED2F-4785-9BB7-3510F7A90519}"/>
    <cellStyle name="Normal 5 2 6 7" xfId="9228" xr:uid="{8FC4372A-E2DA-405A-B463-93D853ACC4B7}"/>
    <cellStyle name="Normal 5 2 7" xfId="9229" xr:uid="{A066FBF3-1F91-4315-AC3A-B937873D9773}"/>
    <cellStyle name="Normal 5 2 7 2" xfId="9230" xr:uid="{0988A311-6F09-4DD9-871C-51B42DEAE8E3}"/>
    <cellStyle name="Normal 5 2 7 2 2" xfId="9231" xr:uid="{835D93BC-A144-4EBF-AD78-4714F49742BF}"/>
    <cellStyle name="Normal 5 2 7 2 2 2" xfId="9232" xr:uid="{CAA21351-E712-4C0F-A0DA-6737EA0454B9}"/>
    <cellStyle name="Normal 5 2 7 2 2 3" xfId="9233" xr:uid="{32DCF33A-AB29-41FC-B989-D55EED0DB885}"/>
    <cellStyle name="Normal 5 2 7 2 3" xfId="9234" xr:uid="{75E94E92-C14C-4C0D-8D7C-76EF18475D12}"/>
    <cellStyle name="Normal 5 2 7 2 4" xfId="9235" xr:uid="{7AEA4958-0FF5-42AA-BA14-8DF1FCE2B873}"/>
    <cellStyle name="Normal 5 2 7 2 5" xfId="9236" xr:uid="{A29AE5EA-DCB7-4733-A6B4-358495BB3C1F}"/>
    <cellStyle name="Normal 5 2 7 3" xfId="9237" xr:uid="{C70E4A57-A986-4802-B3BA-D11ED7E72C56}"/>
    <cellStyle name="Normal 5 2 7 3 2" xfId="9238" xr:uid="{996FD2FC-5EE2-46B3-B75C-F06970793258}"/>
    <cellStyle name="Normal 5 2 7 3 2 2" xfId="9239" xr:uid="{3D216D5B-2325-4D06-B1C9-E2D03E879549}"/>
    <cellStyle name="Normal 5 2 7 3 2 3" xfId="9240" xr:uid="{47A3B587-E6E4-4A62-A3A8-5E0BFAE2FE13}"/>
    <cellStyle name="Normal 5 2 7 3 3" xfId="9241" xr:uid="{818B2EE4-771E-4AE8-A457-0ACC72C04B2D}"/>
    <cellStyle name="Normal 5 2 7 3 4" xfId="9242" xr:uid="{60E04400-A104-48E0-B01E-4E1442C5B5FE}"/>
    <cellStyle name="Normal 5 2 7 3 5" xfId="9243" xr:uid="{D4F1EDBA-3A13-4CE3-855F-F891EBD981E6}"/>
    <cellStyle name="Normal 5 2 7 4" xfId="9244" xr:uid="{23FF7C89-72FB-4AE9-9C81-2389A6499C82}"/>
    <cellStyle name="Normal 5 2 7 4 2" xfId="9245" xr:uid="{A140CA96-87CD-4F3D-A3E5-C2A7D6C53D1B}"/>
    <cellStyle name="Normal 5 2 7 4 3" xfId="9246" xr:uid="{A9C170A6-D4EF-468C-852B-34385805E7AB}"/>
    <cellStyle name="Normal 5 2 7 5" xfId="9247" xr:uid="{707FF72A-CF1B-4A22-B1FD-BCD73C50C6B9}"/>
    <cellStyle name="Normal 5 2 7 6" xfId="9248" xr:uid="{90C94E40-9DD6-4F96-B152-816970777B17}"/>
    <cellStyle name="Normal 5 2 7 7" xfId="9249" xr:uid="{FE2543B9-25FC-4F1F-A093-F20E2A3C0F7D}"/>
    <cellStyle name="Normal 5 2 8" xfId="9250" xr:uid="{73B4578D-56BA-4266-AACC-AD6CD80E210B}"/>
    <cellStyle name="Normal 5 2 8 2" xfId="9251" xr:uid="{FF39D098-F25E-4D40-B173-71FBB95B90BB}"/>
    <cellStyle name="Normal 5 2 8 2 2" xfId="9252" xr:uid="{B70AB6D3-2CCF-4400-9206-CA3191AF7998}"/>
    <cellStyle name="Normal 5 2 8 2 3" xfId="9253" xr:uid="{78C46D35-009F-4AC3-ADD6-40897DA2E192}"/>
    <cellStyle name="Normal 5 2 8 3" xfId="9254" xr:uid="{EF54F45E-15DE-48EF-99F0-EFF9D98218F8}"/>
    <cellStyle name="Normal 5 2 8 4" xfId="9255" xr:uid="{AC9858BD-5558-4D76-B40F-DD25989BB841}"/>
    <cellStyle name="Normal 5 2 8 5" xfId="9256" xr:uid="{E961D099-2C71-49F9-BBCD-DBA3EA5FBB9E}"/>
    <cellStyle name="Normal 5 2 9" xfId="9257" xr:uid="{22F4EEC1-619F-4C20-AC22-BDD28A495B40}"/>
    <cellStyle name="Normal 5 2 9 2" xfId="9258" xr:uid="{7CD4BCFD-99DB-4A1B-92DF-5C649EC0F34B}"/>
    <cellStyle name="Normal 5 2 9 2 2" xfId="9259" xr:uid="{22E39063-EEE3-485B-B0DF-9BDA1912AE53}"/>
    <cellStyle name="Normal 5 2 9 2 3" xfId="9260" xr:uid="{C839F2BD-8E4C-4CB5-8E76-903A25040A2C}"/>
    <cellStyle name="Normal 5 2 9 3" xfId="9261" xr:uid="{25C6647C-15FE-46BB-968E-760BBCB6A40A}"/>
    <cellStyle name="Normal 5 2 9 4" xfId="9262" xr:uid="{66F8C8F7-DCC9-4775-A878-5C4C2E1823A0}"/>
    <cellStyle name="Normal 5 2 9 5" xfId="9263" xr:uid="{291741A6-9764-469E-BCFC-73C30C4DD8A5}"/>
    <cellStyle name="Normal 5 28" xfId="9264" xr:uid="{CA86CD4D-EE9F-4648-8469-4063202A3CE8}"/>
    <cellStyle name="Normal 5 28 2" xfId="9265" xr:uid="{48EF00B5-D728-4994-AD62-351A1BA809BE}"/>
    <cellStyle name="Normal 5 3" xfId="343" xr:uid="{00000000-0005-0000-0000-0000B1010000}"/>
    <cellStyle name="Normal 5 3 10" xfId="9266" xr:uid="{B946F7B2-9F61-47F5-B25F-12615D068CCA}"/>
    <cellStyle name="Normal 5 3 2" xfId="9267" xr:uid="{C33364EE-7004-4A48-924C-258798E46BC8}"/>
    <cellStyle name="Normal 5 3 2 2" xfId="9268" xr:uid="{457856E3-73D7-4E14-8BB3-E1F6F823B7C0}"/>
    <cellStyle name="Normal 5 3 2 2 2" xfId="9269" xr:uid="{652C658F-3738-4E24-809D-C025C30F6B6D}"/>
    <cellStyle name="Normal 5 3 2 2 2 2" xfId="9270" xr:uid="{634169CB-72C2-4AD5-B84E-27ACBC9D6678}"/>
    <cellStyle name="Normal 5 3 2 2 2 2 2" xfId="9271" xr:uid="{2AFFF193-276A-4028-AC92-FF07CAADEC1C}"/>
    <cellStyle name="Normal 5 3 2 2 2 2 3" xfId="9272" xr:uid="{88DA7D91-6BE8-46E5-A8FD-F2321FEE28A0}"/>
    <cellStyle name="Normal 5 3 2 2 2 3" xfId="9273" xr:uid="{EF5F63A7-1395-4097-9951-550A4DC58B0A}"/>
    <cellStyle name="Normal 5 3 2 2 2 4" xfId="9274" xr:uid="{148C0BF1-07DB-4BA3-8C0D-46434F0E580F}"/>
    <cellStyle name="Normal 5 3 2 2 2 5" xfId="9275" xr:uid="{AC26CEBA-B46A-4C6C-9D8B-78C17AFB6719}"/>
    <cellStyle name="Normal 5 3 2 2 3" xfId="9276" xr:uid="{4C7521BE-EF44-4297-960D-420E145D82EB}"/>
    <cellStyle name="Normal 5 3 2 2 3 2" xfId="9277" xr:uid="{707416DC-06E7-44E4-A732-1E195D09CF37}"/>
    <cellStyle name="Normal 5 3 2 2 3 2 2" xfId="9278" xr:uid="{F0F6CCC4-56CC-4C91-A491-63D842BE6231}"/>
    <cellStyle name="Normal 5 3 2 2 3 2 3" xfId="9279" xr:uid="{FE8E00FD-B8A4-4253-9281-BB8EA7F9E103}"/>
    <cellStyle name="Normal 5 3 2 2 3 3" xfId="9280" xr:uid="{405719E3-C04A-4BB7-A807-9B9F7201811F}"/>
    <cellStyle name="Normal 5 3 2 2 3 4" xfId="9281" xr:uid="{452AAF77-A113-4E0B-8C15-50711C6AB2B3}"/>
    <cellStyle name="Normal 5 3 2 2 3 5" xfId="9282" xr:uid="{01BA4C99-E3F1-4019-95C6-DDA031AA385C}"/>
    <cellStyle name="Normal 5 3 2 2 4" xfId="9283" xr:uid="{378AC291-9BF0-4641-ADEB-7D7178881AC3}"/>
    <cellStyle name="Normal 5 3 2 2 4 2" xfId="9284" xr:uid="{59DC9EEB-BE29-4EFE-A2D1-CFAD506E7F88}"/>
    <cellStyle name="Normal 5 3 2 2 4 3" xfId="9285" xr:uid="{844E50DB-28A5-413F-853B-1F728C8F34AA}"/>
    <cellStyle name="Normal 5 3 2 2 5" xfId="9286" xr:uid="{235C2790-4DE8-4B0E-B1FF-52B1E7D341B0}"/>
    <cellStyle name="Normal 5 3 2 2 6" xfId="9287" xr:uid="{5CCBA7FB-3A1A-472C-9705-D7A7650986AB}"/>
    <cellStyle name="Normal 5 3 2 2 7" xfId="9288" xr:uid="{6E8EADF6-9B69-4B03-9E41-408C407F5A16}"/>
    <cellStyle name="Normal 5 3 2 3" xfId="9289" xr:uid="{2BB7674C-FDC6-47CA-A0B6-546916F074A7}"/>
    <cellStyle name="Normal 5 3 2 3 2" xfId="9290" xr:uid="{C63D9ACF-6A18-4678-AD9F-28BFBD91E720}"/>
    <cellStyle name="Normal 5 3 2 3 2 2" xfId="9291" xr:uid="{2EF01033-A6D7-4ED1-8130-1638FA324A89}"/>
    <cellStyle name="Normal 5 3 2 3 2 3" xfId="9292" xr:uid="{06BEE766-1F47-49C0-A89A-93C03C555FAD}"/>
    <cellStyle name="Normal 5 3 2 3 3" xfId="9293" xr:uid="{AB8B17F9-473F-4A0B-A9D2-FD9EF0A0DEC4}"/>
    <cellStyle name="Normal 5 3 2 3 4" xfId="9294" xr:uid="{4F286186-383D-4250-AC96-7C764F48AA56}"/>
    <cellStyle name="Normal 5 3 2 3 5" xfId="9295" xr:uid="{242B45BA-7285-4CBC-8771-81CEBAFFF713}"/>
    <cellStyle name="Normal 5 3 2 4" xfId="9296" xr:uid="{E1A88D64-AA17-4ADC-BAF6-F2AD7C4F3D54}"/>
    <cellStyle name="Normal 5 3 2 4 2" xfId="9297" xr:uid="{D291891F-6685-4F9B-9983-353233163D86}"/>
    <cellStyle name="Normal 5 3 2 4 2 2" xfId="9298" xr:uid="{3167D525-F8BA-4E63-B0F6-BB8CA27DB85A}"/>
    <cellStyle name="Normal 5 3 2 4 2 3" xfId="9299" xr:uid="{BB1B3F51-FD4B-4A23-A632-077A45EB8057}"/>
    <cellStyle name="Normal 5 3 2 4 3" xfId="9300" xr:uid="{7BE3407F-2A98-47AE-AA35-8D7C763201D6}"/>
    <cellStyle name="Normal 5 3 2 4 4" xfId="9301" xr:uid="{D278F13D-B807-4A17-8A1D-F1C883F7A706}"/>
    <cellStyle name="Normal 5 3 2 4 5" xfId="9302" xr:uid="{313EE871-9307-4215-B321-BE4E7E572F2C}"/>
    <cellStyle name="Normal 5 3 2 5" xfId="9303" xr:uid="{51D46BAB-7246-42BE-B1DB-D57A2032B881}"/>
    <cellStyle name="Normal 5 3 2 5 2" xfId="9304" xr:uid="{E7E1ED94-5B9B-478F-B852-BDEC50FBD027}"/>
    <cellStyle name="Normal 5 3 2 5 3" xfId="9305" xr:uid="{7CE90BD2-F624-4F82-8EC4-75D44C7ED86F}"/>
    <cellStyle name="Normal 5 3 2 6" xfId="9306" xr:uid="{2973C992-472A-4CF2-B48A-917BEDFC6207}"/>
    <cellStyle name="Normal 5 3 2 7" xfId="9307" xr:uid="{2EFBF7E6-62A3-4EA9-82DF-7025DC2EA8CE}"/>
    <cellStyle name="Normal 5 3 2 8" xfId="9308" xr:uid="{ABE76E2F-A9BF-4CCA-8E45-918907FFFF32}"/>
    <cellStyle name="Normal 5 3 3" xfId="9309" xr:uid="{6AAC45A6-927C-4071-88CC-3D952A52F123}"/>
    <cellStyle name="Normal 5 3 3 2" xfId="9310" xr:uid="{67941192-0EAF-422D-9F09-020932CE1F1D}"/>
    <cellStyle name="Normal 5 3 3 2 2" xfId="9311" xr:uid="{5E236C79-0EBE-4823-87BC-6C2D6AC63C00}"/>
    <cellStyle name="Normal 5 3 3 2 2 2" xfId="9312" xr:uid="{A087922A-9C31-4617-9DCE-A8A41248BD1C}"/>
    <cellStyle name="Normal 5 3 3 2 2 3" xfId="9313" xr:uid="{D54DCE74-8232-4A6C-84C4-16AAFCB925E9}"/>
    <cellStyle name="Normal 5 3 3 2 3" xfId="9314" xr:uid="{C782AC5D-1383-44EB-BCA6-90D402D17CA0}"/>
    <cellStyle name="Normal 5 3 3 2 4" xfId="9315" xr:uid="{16A67BF0-5854-4C29-8B84-A65FA392A949}"/>
    <cellStyle name="Normal 5 3 3 2 5" xfId="9316" xr:uid="{0A05E711-A64E-4950-AA84-F59E8C342ECF}"/>
    <cellStyle name="Normal 5 3 3 3" xfId="9317" xr:uid="{589015EA-53E0-416C-A143-68F90F50A6EA}"/>
    <cellStyle name="Normal 5 3 3 3 2" xfId="9318" xr:uid="{C86DEC90-BEE6-4B3F-881A-24BB30C958CB}"/>
    <cellStyle name="Normal 5 3 3 3 2 2" xfId="9319" xr:uid="{02A16619-306B-484F-A34F-19CEB809AC07}"/>
    <cellStyle name="Normal 5 3 3 3 2 3" xfId="9320" xr:uid="{98339359-1A95-4DAA-BBFD-3CB451774F51}"/>
    <cellStyle name="Normal 5 3 3 3 3" xfId="9321" xr:uid="{F1FE52E5-024B-49EF-911A-EBBCC53AEC4C}"/>
    <cellStyle name="Normal 5 3 3 3 4" xfId="9322" xr:uid="{80888152-0356-4EB5-9459-79C83CA2EF8F}"/>
    <cellStyle name="Normal 5 3 3 3 5" xfId="9323" xr:uid="{17C56309-CAA5-4933-8F68-4F4D212E3D5C}"/>
    <cellStyle name="Normal 5 3 3 4" xfId="9324" xr:uid="{A4922B45-2676-48AB-8EF3-E54F3DA48C42}"/>
    <cellStyle name="Normal 5 3 3 4 2" xfId="9325" xr:uid="{CE8CBD95-2C73-432C-9BEC-190792BF8CA7}"/>
    <cellStyle name="Normal 5 3 3 4 3" xfId="9326" xr:uid="{2937152E-526F-4008-91EA-9045BF7D4B3D}"/>
    <cellStyle name="Normal 5 3 3 5" xfId="9327" xr:uid="{123BC9F5-B61E-4A65-B496-AD8D89FED22D}"/>
    <cellStyle name="Normal 5 3 3 6" xfId="9328" xr:uid="{E9B5DF84-42AC-4FB4-9668-8C899E397E30}"/>
    <cellStyle name="Normal 5 3 3 7" xfId="9329" xr:uid="{096175E3-CB89-4204-BF1C-1F6A8C34080C}"/>
    <cellStyle name="Normal 5 3 4" xfId="9330" xr:uid="{9E213C85-0116-4745-B4D5-097E1444C7F3}"/>
    <cellStyle name="Normal 5 3 4 2" xfId="9331" xr:uid="{1D89FADF-B8E5-41D9-BDA5-6F7F11110EAC}"/>
    <cellStyle name="Normal 5 3 4 2 2" xfId="9332" xr:uid="{DE2F16D4-7C35-48BD-B93F-3E1D77CCDCA0}"/>
    <cellStyle name="Normal 5 3 4 2 3" xfId="9333" xr:uid="{94781054-D6D9-4B54-B4EC-C244CDD7F57B}"/>
    <cellStyle name="Normal 5 3 4 3" xfId="9334" xr:uid="{B727E3D5-1E7C-4681-9922-FEE98F3470FC}"/>
    <cellStyle name="Normal 5 3 4 4" xfId="9335" xr:uid="{0148FA84-AD5E-4ECD-96D6-0FF619F122B2}"/>
    <cellStyle name="Normal 5 3 4 5" xfId="9336" xr:uid="{4FC8B618-3EE4-4C46-B2F4-BD399B0488D8}"/>
    <cellStyle name="Normal 5 3 5" xfId="9337" xr:uid="{3DAF02E0-6427-408B-8E91-CC26CC0FCD84}"/>
    <cellStyle name="Normal 5 3 5 2" xfId="9338" xr:uid="{22910518-A90C-40E3-BFCF-5AEE37CA4687}"/>
    <cellStyle name="Normal 5 3 5 2 2" xfId="9339" xr:uid="{40E95B31-EAE5-4EB2-9B3B-CE84805D0D60}"/>
    <cellStyle name="Normal 5 3 5 2 3" xfId="9340" xr:uid="{1EEF3B41-E076-4B54-BF17-F418B90B6911}"/>
    <cellStyle name="Normal 5 3 5 3" xfId="9341" xr:uid="{73B7F4E3-EC2A-4F43-9F91-44FB67ED2E8E}"/>
    <cellStyle name="Normal 5 3 5 4" xfId="9342" xr:uid="{84B0A912-D838-496B-9061-4A3EE545CCCD}"/>
    <cellStyle name="Normal 5 3 5 5" xfId="9343" xr:uid="{EF58C140-E360-4CBC-8329-7B3374034EB8}"/>
    <cellStyle name="Normal 5 3 6" xfId="9344" xr:uid="{A70981B3-795A-4718-A98A-4F3205DBFBD3}"/>
    <cellStyle name="Normal 5 3 6 2" xfId="9345" xr:uid="{6D3FF0DE-F6D3-4049-8EF8-53E6330F2F3D}"/>
    <cellStyle name="Normal 5 3 6 3" xfId="9346" xr:uid="{37DF3B0E-8AAA-4C79-A2D2-EA0BF775F7D6}"/>
    <cellStyle name="Normal 5 3 7" xfId="9347" xr:uid="{F9D56463-D4D0-43EC-B403-C905117160A0}"/>
    <cellStyle name="Normal 5 3 8" xfId="9348" xr:uid="{233476C9-B233-4920-AAE8-AAB1A92CA1AC}"/>
    <cellStyle name="Normal 5 3 9" xfId="9349" xr:uid="{AF313CA7-520A-4070-98AE-96C307675712}"/>
    <cellStyle name="Normal 5 4" xfId="443" xr:uid="{00000000-0005-0000-0000-0000B2010000}"/>
    <cellStyle name="Normal 5 4 10" xfId="9350" xr:uid="{A136B1CE-6F46-4FB1-B6D7-A644E1339A85}"/>
    <cellStyle name="Normal 5 4 2" xfId="9351" xr:uid="{04755793-E4C2-4B01-B6ED-5C0981C0669B}"/>
    <cellStyle name="Normal 5 4 2 2" xfId="9352" xr:uid="{5B215E34-BA2F-4298-A586-AA0496858B7E}"/>
    <cellStyle name="Normal 5 4 2 2 2" xfId="9353" xr:uid="{C4075CEF-5E73-4E80-BA98-C22FD28907D4}"/>
    <cellStyle name="Normal 5 4 2 2 2 2" xfId="9354" xr:uid="{D78F5931-307E-487A-9403-09A636DC75E9}"/>
    <cellStyle name="Normal 5 4 2 2 2 2 2" xfId="9355" xr:uid="{D7D7024B-68E3-4D84-9CF7-9B950DFABB53}"/>
    <cellStyle name="Normal 5 4 2 2 2 2 3" xfId="9356" xr:uid="{93CB3E13-4E25-4984-A741-12A24C1BE3C9}"/>
    <cellStyle name="Normal 5 4 2 2 2 3" xfId="9357" xr:uid="{4BA9C66D-4D81-4AE3-8466-42F0490D8054}"/>
    <cellStyle name="Normal 5 4 2 2 2 4" xfId="9358" xr:uid="{75172EED-E54A-423A-B125-22E9994F9EAE}"/>
    <cellStyle name="Normal 5 4 2 2 2 5" xfId="9359" xr:uid="{451B43B7-FA80-485B-8EAA-B80E0B5FC912}"/>
    <cellStyle name="Normal 5 4 2 2 3" xfId="9360" xr:uid="{6696370B-02FE-444B-9985-57466EB37D64}"/>
    <cellStyle name="Normal 5 4 2 2 3 2" xfId="9361" xr:uid="{3E0EF59F-3C91-4525-9CDE-ABE0EC51B723}"/>
    <cellStyle name="Normal 5 4 2 2 3 2 2" xfId="9362" xr:uid="{1B9A61B9-676D-4F9C-B0DF-0C30E8B5BF00}"/>
    <cellStyle name="Normal 5 4 2 2 3 2 3" xfId="9363" xr:uid="{242A23BD-3E0F-4130-A259-C8DE1AD1DEBD}"/>
    <cellStyle name="Normal 5 4 2 2 3 3" xfId="9364" xr:uid="{3A030331-CD4B-45D8-BC49-069CED55B220}"/>
    <cellStyle name="Normal 5 4 2 2 3 4" xfId="9365" xr:uid="{ECF4CCEB-AC16-4DCF-85F0-1379F550F75A}"/>
    <cellStyle name="Normal 5 4 2 2 3 5" xfId="9366" xr:uid="{45DBECE9-E6FF-4331-BB3D-C35AEB9A3432}"/>
    <cellStyle name="Normal 5 4 2 2 4" xfId="9367" xr:uid="{1034A1F9-9429-4A6B-9EA1-0081D8C2E33B}"/>
    <cellStyle name="Normal 5 4 2 2 4 2" xfId="9368" xr:uid="{9356FC5F-106D-4CEF-A771-08936035CC52}"/>
    <cellStyle name="Normal 5 4 2 2 4 3" xfId="9369" xr:uid="{DF1BD1E7-79FC-4657-A69A-30CBDD498340}"/>
    <cellStyle name="Normal 5 4 2 2 5" xfId="9370" xr:uid="{9E1F2465-0E92-4936-B01F-23596DEE5E4B}"/>
    <cellStyle name="Normal 5 4 2 2 6" xfId="9371" xr:uid="{13787E3E-DFC6-45CE-9E32-0388D937FF64}"/>
    <cellStyle name="Normal 5 4 2 2 7" xfId="9372" xr:uid="{16200B33-709B-4210-BE07-943FAB66FACC}"/>
    <cellStyle name="Normal 5 4 2 3" xfId="9373" xr:uid="{8A1816CA-98C4-4406-9D5A-BC740DE63923}"/>
    <cellStyle name="Normal 5 4 2 3 2" xfId="9374" xr:uid="{37E7872E-4533-40D4-AB75-34DBB53CCCAB}"/>
    <cellStyle name="Normal 5 4 2 3 2 2" xfId="9375" xr:uid="{57518275-1861-46A8-BEFC-311686CE4495}"/>
    <cellStyle name="Normal 5 4 2 3 2 3" xfId="9376" xr:uid="{605CE8B0-0EE3-424B-8997-F460BB397246}"/>
    <cellStyle name="Normal 5 4 2 3 3" xfId="9377" xr:uid="{00933FD7-1795-4C2B-B874-65101FB301EC}"/>
    <cellStyle name="Normal 5 4 2 3 4" xfId="9378" xr:uid="{46590CCB-C27C-43FC-8827-9239CB2D3FEE}"/>
    <cellStyle name="Normal 5 4 2 3 5" xfId="9379" xr:uid="{DA40C29D-B761-4B02-B6CC-727FBF843E96}"/>
    <cellStyle name="Normal 5 4 2 4" xfId="9380" xr:uid="{BCF144F2-1049-4933-9D64-4F4E213AE1B0}"/>
    <cellStyle name="Normal 5 4 2 4 2" xfId="9381" xr:uid="{4CB33322-2F17-46EF-A956-FE6D63303A5B}"/>
    <cellStyle name="Normal 5 4 2 4 2 2" xfId="9382" xr:uid="{A0C93FE0-1E38-41FA-8F5C-579DB17573B7}"/>
    <cellStyle name="Normal 5 4 2 4 2 3" xfId="9383" xr:uid="{55B21DF8-673C-4594-B195-2C86F5818E76}"/>
    <cellStyle name="Normal 5 4 2 4 3" xfId="9384" xr:uid="{DBC6E736-3483-4952-BEB0-C6049D948318}"/>
    <cellStyle name="Normal 5 4 2 4 4" xfId="9385" xr:uid="{B7FB69E8-AFC1-4A7A-BD9C-D44229909C5D}"/>
    <cellStyle name="Normal 5 4 2 4 5" xfId="9386" xr:uid="{AACC031C-34B7-4519-88B5-AE7D237291D7}"/>
    <cellStyle name="Normal 5 4 2 5" xfId="9387" xr:uid="{F164AC6B-D64C-44C4-9943-D72FF0CAB7CD}"/>
    <cellStyle name="Normal 5 4 2 5 2" xfId="9388" xr:uid="{2A589E39-DED8-48F5-B467-94CFA934F9B3}"/>
    <cellStyle name="Normal 5 4 2 5 3" xfId="9389" xr:uid="{BED506C2-10BC-401A-AD37-8BD49132ADB3}"/>
    <cellStyle name="Normal 5 4 2 6" xfId="9390" xr:uid="{E30549AF-FC99-45FC-8E47-67BDC1A3422E}"/>
    <cellStyle name="Normal 5 4 2 7" xfId="9391" xr:uid="{469C8A60-344A-40FC-84E4-1EF84931BE83}"/>
    <cellStyle name="Normal 5 4 2 8" xfId="9392" xr:uid="{B442BCA3-0ECD-460A-8F73-0735700C5B74}"/>
    <cellStyle name="Normal 5 4 3" xfId="9393" xr:uid="{F63F6CCA-60D6-476B-BD1D-8B9402DF5D82}"/>
    <cellStyle name="Normal 5 4 3 2" xfId="9394" xr:uid="{2FAE5492-361C-4806-AD79-2E9CEABB682F}"/>
    <cellStyle name="Normal 5 4 3 2 2" xfId="9395" xr:uid="{A0069B58-4709-450D-B4FE-C2D6EA7670EA}"/>
    <cellStyle name="Normal 5 4 3 2 2 2" xfId="9396" xr:uid="{A3C97319-7ED8-486F-8D8C-961C86A5F617}"/>
    <cellStyle name="Normal 5 4 3 2 2 3" xfId="9397" xr:uid="{A849AA0F-F414-4651-88FA-22DD5CD55852}"/>
    <cellStyle name="Normal 5 4 3 2 3" xfId="9398" xr:uid="{DE0B9431-0354-4098-925D-9788BBED74B0}"/>
    <cellStyle name="Normal 5 4 3 2 4" xfId="9399" xr:uid="{AD31BDB9-83FC-4982-BC22-B7FE2549826A}"/>
    <cellStyle name="Normal 5 4 3 2 5" xfId="9400" xr:uid="{D03921E8-1082-4A00-8FE9-75D6B5A45709}"/>
    <cellStyle name="Normal 5 4 3 3" xfId="9401" xr:uid="{58BDCFCF-8C0D-4D0F-82F4-71F9B537DB00}"/>
    <cellStyle name="Normal 5 4 3 3 2" xfId="9402" xr:uid="{1985BA5A-BAA7-4A52-9B7D-580FE7AD8F12}"/>
    <cellStyle name="Normal 5 4 3 3 2 2" xfId="9403" xr:uid="{DE498D87-C8A2-4CE0-BBF5-BA1269EAB380}"/>
    <cellStyle name="Normal 5 4 3 3 2 3" xfId="9404" xr:uid="{F9105AAC-18D9-44EA-8B1A-0CF9E23A72D1}"/>
    <cellStyle name="Normal 5 4 3 3 3" xfId="9405" xr:uid="{02E5B528-6D0A-4784-BC87-D83E26B2389B}"/>
    <cellStyle name="Normal 5 4 3 3 4" xfId="9406" xr:uid="{F6B89B43-D493-479B-AC89-8884AC024F16}"/>
    <cellStyle name="Normal 5 4 3 3 5" xfId="9407" xr:uid="{13E384D6-C344-4308-A6E4-84D115B88D48}"/>
    <cellStyle name="Normal 5 4 3 4" xfId="9408" xr:uid="{D7C3AD11-9F35-4A0F-8E29-016798E0B8CB}"/>
    <cellStyle name="Normal 5 4 3 4 2" xfId="9409" xr:uid="{9D6921EB-2B1A-4F57-B3C4-012D633511C6}"/>
    <cellStyle name="Normal 5 4 3 4 3" xfId="9410" xr:uid="{E68BC714-13B6-488F-B5E0-ABC95705E52E}"/>
    <cellStyle name="Normal 5 4 3 5" xfId="9411" xr:uid="{02F250F6-710C-4F70-9CD0-EDE7E5F76677}"/>
    <cellStyle name="Normal 5 4 3 6" xfId="9412" xr:uid="{8BAF0A43-AB42-41E0-AC99-66F723E85E89}"/>
    <cellStyle name="Normal 5 4 3 7" xfId="9413" xr:uid="{6DBE8D76-8C2D-4409-BE2F-D83F45B9AA66}"/>
    <cellStyle name="Normal 5 4 4" xfId="9414" xr:uid="{E8824BD0-63D2-46BC-A3C4-9044B18D4575}"/>
    <cellStyle name="Normal 5 4 4 2" xfId="9415" xr:uid="{240F17BB-F572-4620-9665-7F0681346E1D}"/>
    <cellStyle name="Normal 5 4 4 2 2" xfId="9416" xr:uid="{E3A83E52-663B-4EF6-8A84-FE115F0F9840}"/>
    <cellStyle name="Normal 5 4 4 2 3" xfId="9417" xr:uid="{9AFA7130-F75C-4D4A-8076-28923A2CEB2F}"/>
    <cellStyle name="Normal 5 4 4 3" xfId="9418" xr:uid="{C08C9F21-E2A1-4BFD-9FFD-4FF3366E2B5F}"/>
    <cellStyle name="Normal 5 4 4 4" xfId="9419" xr:uid="{017E7FC5-FC05-4B1A-BCA0-359E957774B7}"/>
    <cellStyle name="Normal 5 4 4 5" xfId="9420" xr:uid="{EDCFE6DB-9A8A-48BE-B88E-02045D6B4DEE}"/>
    <cellStyle name="Normal 5 4 5" xfId="9421" xr:uid="{A6E1FEA7-E88A-4A0A-8180-C447B25BCCC2}"/>
    <cellStyle name="Normal 5 4 5 2" xfId="9422" xr:uid="{D309BB70-FBCB-4157-874C-F8E06A02B075}"/>
    <cellStyle name="Normal 5 4 5 2 2" xfId="9423" xr:uid="{65C784E0-F48A-4676-B96A-23E57113A362}"/>
    <cellStyle name="Normal 5 4 5 2 3" xfId="9424" xr:uid="{1F8AC298-0F3C-4100-A08C-23B040F74F66}"/>
    <cellStyle name="Normal 5 4 5 3" xfId="9425" xr:uid="{8D22F0BF-6AD1-4C13-9ED5-FBB34F20B1CF}"/>
    <cellStyle name="Normal 5 4 5 4" xfId="9426" xr:uid="{4B59B361-CCD7-4C35-98BF-293356CB7B44}"/>
    <cellStyle name="Normal 5 4 5 5" xfId="9427" xr:uid="{B604B3E0-2B5E-496B-8971-FC5BDFA6476E}"/>
    <cellStyle name="Normal 5 4 6" xfId="9428" xr:uid="{309C6284-A161-4EEF-BEED-4FAFA5FA32F0}"/>
    <cellStyle name="Normal 5 4 6 2" xfId="9429" xr:uid="{EE8D47EE-FA8F-4FFF-A2A8-BBE020866AB9}"/>
    <cellStyle name="Normal 5 4 6 3" xfId="9430" xr:uid="{47616270-3CA5-4F73-BE8C-A17CA14AC7BF}"/>
    <cellStyle name="Normal 5 4 7" xfId="9431" xr:uid="{7C32CAB6-934C-4BD8-B2E7-BADE255B0FA3}"/>
    <cellStyle name="Normal 5 4 8" xfId="9432" xr:uid="{4DD0F476-FC9E-459B-83E1-69947918EDDD}"/>
    <cellStyle name="Normal 5 4 9" xfId="9433" xr:uid="{48A3103F-ADD3-45F5-B16A-23C5F475CFDB}"/>
    <cellStyle name="Normal 5 5" xfId="550" xr:uid="{85952549-EE6D-4D0C-877B-446DF8240BE5}"/>
    <cellStyle name="Normal 5 5 10" xfId="9434" xr:uid="{6B871BEE-7A74-462B-83D2-DB156F0F8F56}"/>
    <cellStyle name="Normal 5 5 2" xfId="9435" xr:uid="{99BF4148-C63A-4EFB-9DD9-D6A6D97F97A8}"/>
    <cellStyle name="Normal 5 5 2 2" xfId="9436" xr:uid="{96EEA413-CA60-4ED9-8F63-4D0079178163}"/>
    <cellStyle name="Normal 5 5 2 2 2" xfId="9437" xr:uid="{53FA2D3E-7202-4FCA-9750-D534B5A2E852}"/>
    <cellStyle name="Normal 5 5 2 2 2 2" xfId="9438" xr:uid="{BFFEC86E-46D7-46A5-B4F6-9C99303ED35A}"/>
    <cellStyle name="Normal 5 5 2 2 2 2 2" xfId="9439" xr:uid="{7EB973E1-2E30-4F34-8E4A-BBCFD3238672}"/>
    <cellStyle name="Normal 5 5 2 2 2 2 3" xfId="9440" xr:uid="{F1B60010-B06B-485F-9A7B-4525675F0200}"/>
    <cellStyle name="Normal 5 5 2 2 2 3" xfId="9441" xr:uid="{3A88E838-27D4-4A75-A332-7F9BF483F1F3}"/>
    <cellStyle name="Normal 5 5 2 2 2 4" xfId="9442" xr:uid="{FB355A5C-0B51-444F-8C11-1332FE462636}"/>
    <cellStyle name="Normal 5 5 2 2 2 5" xfId="9443" xr:uid="{A331BD19-C3AE-4F76-A4A3-A8A074F4A7A3}"/>
    <cellStyle name="Normal 5 5 2 2 3" xfId="9444" xr:uid="{AC5E6347-3EEC-4530-8F73-036E630A5B64}"/>
    <cellStyle name="Normal 5 5 2 2 3 2" xfId="9445" xr:uid="{00CC3A79-2F9A-4B41-8D93-BD8E8B039EE2}"/>
    <cellStyle name="Normal 5 5 2 2 3 2 2" xfId="9446" xr:uid="{7EEC6F44-A0E5-4028-AF6A-03E9EDA6B89B}"/>
    <cellStyle name="Normal 5 5 2 2 3 2 3" xfId="9447" xr:uid="{27793F63-EA6D-40E1-A039-2154F0E8DD38}"/>
    <cellStyle name="Normal 5 5 2 2 3 3" xfId="9448" xr:uid="{7AB64E6D-A383-4434-A1F7-E316B014036C}"/>
    <cellStyle name="Normal 5 5 2 2 3 4" xfId="9449" xr:uid="{2DC86161-3A44-492D-A437-6AA29766FC7D}"/>
    <cellStyle name="Normal 5 5 2 2 3 5" xfId="9450" xr:uid="{3584B8CB-7E67-4443-853D-A1E8CC76573A}"/>
    <cellStyle name="Normal 5 5 2 2 4" xfId="9451" xr:uid="{03C25FC8-7EC0-409B-BFE5-EFCA2C438FBA}"/>
    <cellStyle name="Normal 5 5 2 2 4 2" xfId="9452" xr:uid="{2FCD2F7C-9C56-47E0-BD5B-55642D09D4E8}"/>
    <cellStyle name="Normal 5 5 2 2 4 3" xfId="9453" xr:uid="{79EE2275-A64C-414C-B14F-8DEAB612D5BD}"/>
    <cellStyle name="Normal 5 5 2 2 5" xfId="9454" xr:uid="{F1955DA1-9334-4D05-B380-7AEFDCF92AD8}"/>
    <cellStyle name="Normal 5 5 2 2 6" xfId="9455" xr:uid="{BCDE1B29-6707-44A2-8028-3DB4C5909DCF}"/>
    <cellStyle name="Normal 5 5 2 2 7" xfId="9456" xr:uid="{E435091D-6080-48F0-A485-07F84B7C9206}"/>
    <cellStyle name="Normal 5 5 2 3" xfId="9457" xr:uid="{B4DC4918-E216-4B11-9F6F-4FBFE5D07AE9}"/>
    <cellStyle name="Normal 5 5 2 3 2" xfId="9458" xr:uid="{E8CCDE2E-C131-4EC6-82BE-905196EDDB21}"/>
    <cellStyle name="Normal 5 5 2 3 2 2" xfId="9459" xr:uid="{0B43C203-6310-4E33-9A1A-165334526CE2}"/>
    <cellStyle name="Normal 5 5 2 3 2 3" xfId="9460" xr:uid="{B1BDFFD9-5997-42F5-98F4-33E0B75306B4}"/>
    <cellStyle name="Normal 5 5 2 3 3" xfId="9461" xr:uid="{BE4D99E0-2CA8-45A0-A341-E9B30D228568}"/>
    <cellStyle name="Normal 5 5 2 3 4" xfId="9462" xr:uid="{54A52EFF-31E8-413B-BEBC-66DA3BB51500}"/>
    <cellStyle name="Normal 5 5 2 3 5" xfId="9463" xr:uid="{6204843E-AF1C-4FFE-9A08-516B7A136056}"/>
    <cellStyle name="Normal 5 5 2 4" xfId="9464" xr:uid="{72199F7E-3590-40BC-B2CB-4EDE71C6016A}"/>
    <cellStyle name="Normal 5 5 2 4 2" xfId="9465" xr:uid="{3A095DC4-3271-425D-9B43-4E935D46A1A7}"/>
    <cellStyle name="Normal 5 5 2 4 2 2" xfId="9466" xr:uid="{1235CB5D-615A-4ADF-8A3D-B66A08A644B2}"/>
    <cellStyle name="Normal 5 5 2 4 2 3" xfId="9467" xr:uid="{05D51146-DC27-4957-8721-21A3889B0BC6}"/>
    <cellStyle name="Normal 5 5 2 4 3" xfId="9468" xr:uid="{A726C496-C4A4-49A7-9E13-F606092CC298}"/>
    <cellStyle name="Normal 5 5 2 4 4" xfId="9469" xr:uid="{5BF6FFE8-D1A8-4606-A187-B212E736A33A}"/>
    <cellStyle name="Normal 5 5 2 4 5" xfId="9470" xr:uid="{2F5BC20F-55D1-4813-A011-4FA7C1CC5C5E}"/>
    <cellStyle name="Normal 5 5 2 5" xfId="9471" xr:uid="{C4D95CDC-C2A9-4CC6-9AD2-B7A26FAC37AE}"/>
    <cellStyle name="Normal 5 5 2 5 2" xfId="9472" xr:uid="{8319C613-C9A8-45BE-AEF0-F84FEEF35A32}"/>
    <cellStyle name="Normal 5 5 2 5 3" xfId="9473" xr:uid="{18F0630E-2596-47E7-964E-7CEEA4D30139}"/>
    <cellStyle name="Normal 5 5 2 6" xfId="9474" xr:uid="{BBEEE526-2278-4926-ACD1-85137F242354}"/>
    <cellStyle name="Normal 5 5 2 7" xfId="9475" xr:uid="{42B25966-8854-4F78-86A2-12E0C17EFC5A}"/>
    <cellStyle name="Normal 5 5 2 8" xfId="9476" xr:uid="{B4913F4C-5A40-489A-8374-205A7E212D2A}"/>
    <cellStyle name="Normal 5 5 3" xfId="9477" xr:uid="{C74CDF68-73B2-4C6E-8B7B-61F73069228D}"/>
    <cellStyle name="Normal 5 5 3 2" xfId="9478" xr:uid="{71AD877F-CCAD-4B95-A39D-FF87A3B2F9DA}"/>
    <cellStyle name="Normal 5 5 3 2 2" xfId="9479" xr:uid="{4FC87BC3-64BD-4252-B6F9-576BF90FDB6D}"/>
    <cellStyle name="Normal 5 5 3 2 2 2" xfId="9480" xr:uid="{737F738A-CE89-46C4-9F93-4891FE1004AD}"/>
    <cellStyle name="Normal 5 5 3 2 2 3" xfId="9481" xr:uid="{86565B35-D440-4A0C-ABCB-5477A26D9FF5}"/>
    <cellStyle name="Normal 5 5 3 2 3" xfId="9482" xr:uid="{552241E3-8D34-4EC1-A071-10E09A02052B}"/>
    <cellStyle name="Normal 5 5 3 2 4" xfId="9483" xr:uid="{E133BA5B-9BC9-4899-BB49-9C9C04E0F26E}"/>
    <cellStyle name="Normal 5 5 3 2 5" xfId="9484" xr:uid="{455B48D1-C2AE-490F-8BAF-E572929D1B47}"/>
    <cellStyle name="Normal 5 5 3 3" xfId="9485" xr:uid="{5FA1365A-0481-4DA1-A1A7-1367C3A3B721}"/>
    <cellStyle name="Normal 5 5 3 3 2" xfId="9486" xr:uid="{FB60F4DA-06BA-479C-9EE2-E4C1649D8CC0}"/>
    <cellStyle name="Normal 5 5 3 3 2 2" xfId="9487" xr:uid="{12895553-6A4D-488D-BC08-25D50C20EE3A}"/>
    <cellStyle name="Normal 5 5 3 3 2 3" xfId="9488" xr:uid="{8A877DE8-3B81-4716-A60E-CBB0106F25A1}"/>
    <cellStyle name="Normal 5 5 3 3 3" xfId="9489" xr:uid="{41813C1C-727B-41E7-8FCA-CEA40E3B0C2A}"/>
    <cellStyle name="Normal 5 5 3 3 4" xfId="9490" xr:uid="{ABF679D3-D3AF-4795-AEF0-FFE0EEB6CB9A}"/>
    <cellStyle name="Normal 5 5 3 3 5" xfId="9491" xr:uid="{58B98369-0DDD-480B-8D25-6C0A4F6BD973}"/>
    <cellStyle name="Normal 5 5 3 4" xfId="9492" xr:uid="{4176BC48-8858-4AD5-82D3-812114621082}"/>
    <cellStyle name="Normal 5 5 3 4 2" xfId="9493" xr:uid="{C5246AA6-BD52-4B06-BBC2-D82DD2D030E8}"/>
    <cellStyle name="Normal 5 5 3 4 3" xfId="9494" xr:uid="{EDF38FEB-747D-45F4-A16E-65B0370A1338}"/>
    <cellStyle name="Normal 5 5 3 5" xfId="9495" xr:uid="{B651BA70-2BCD-4B3D-A51D-3D193B18F74E}"/>
    <cellStyle name="Normal 5 5 3 6" xfId="9496" xr:uid="{483CB60F-E8F0-4AA9-8FF6-DCECB53E1327}"/>
    <cellStyle name="Normal 5 5 3 7" xfId="9497" xr:uid="{761DAC1C-F607-4C2A-8B5E-BDDE8E19EBD8}"/>
    <cellStyle name="Normal 5 5 4" xfId="9498" xr:uid="{8CD4EC5C-6786-4125-84A0-31FD58A4E139}"/>
    <cellStyle name="Normal 5 5 4 2" xfId="9499" xr:uid="{7AB5D475-45E5-4B86-BB1B-D925A79DD96F}"/>
    <cellStyle name="Normal 5 5 4 2 2" xfId="9500" xr:uid="{B0B9FBF3-6898-497B-BDF7-FFEB16F5A01B}"/>
    <cellStyle name="Normal 5 5 4 2 3" xfId="9501" xr:uid="{7FFDA275-6DDE-496B-A0CF-994E5B85AE15}"/>
    <cellStyle name="Normal 5 5 4 3" xfId="9502" xr:uid="{13F1E9C8-E485-4BE1-B8F1-AA133E5CAEC9}"/>
    <cellStyle name="Normal 5 5 4 4" xfId="9503" xr:uid="{07BB239E-531F-4136-B534-285C256ECBBF}"/>
    <cellStyle name="Normal 5 5 4 5" xfId="9504" xr:uid="{02C1BECD-214B-4C94-A6C7-9EC441558BE0}"/>
    <cellStyle name="Normal 5 5 5" xfId="9505" xr:uid="{07E6E9FF-949C-48B1-B54E-8DEC1B9CD57B}"/>
    <cellStyle name="Normal 5 5 5 2" xfId="9506" xr:uid="{7F88C24B-CD97-4ECD-8A69-C3E9E3A9C826}"/>
    <cellStyle name="Normal 5 5 5 2 2" xfId="9507" xr:uid="{AB26E4BD-08EA-4ECA-93B6-157975F4B31C}"/>
    <cellStyle name="Normal 5 5 5 2 3" xfId="9508" xr:uid="{49EBFAE7-076E-4259-8D08-448FB2EE3723}"/>
    <cellStyle name="Normal 5 5 5 3" xfId="9509" xr:uid="{C4EFDA26-D669-4E98-BC8C-A3C0C47C838C}"/>
    <cellStyle name="Normal 5 5 5 4" xfId="9510" xr:uid="{C2805A9D-05EB-4376-807F-F29562AEC5AE}"/>
    <cellStyle name="Normal 5 5 5 5" xfId="9511" xr:uid="{43474371-64FD-4752-B323-017BA390F830}"/>
    <cellStyle name="Normal 5 5 6" xfId="9512" xr:uid="{FCC9C861-8A79-41F8-A0CD-D4040D0685A0}"/>
    <cellStyle name="Normal 5 5 6 2" xfId="9513" xr:uid="{F9EC1A6B-8C0A-4432-8988-46AF8B2CF085}"/>
    <cellStyle name="Normal 5 5 6 3" xfId="9514" xr:uid="{32C03927-C6C9-421F-85F7-80E2F8CAEB09}"/>
    <cellStyle name="Normal 5 5 7" xfId="9515" xr:uid="{0E977A80-18FB-4155-BE43-32083D93FB2B}"/>
    <cellStyle name="Normal 5 5 8" xfId="9516" xr:uid="{CA6BA2A1-83D5-4BAA-BA99-5471A9F15286}"/>
    <cellStyle name="Normal 5 5 9" xfId="9517" xr:uid="{98DF1456-B31B-4053-803B-7942B501246C}"/>
    <cellStyle name="Normal 5 6" xfId="9518" xr:uid="{2DAD9209-7718-42C6-8498-8B735F9D6731}"/>
    <cellStyle name="Normal 5 6 2" xfId="9519" xr:uid="{36C4B756-69AA-464E-BA46-7D5192871951}"/>
    <cellStyle name="Normal 5 6 2 2" xfId="9520" xr:uid="{9CEABFBB-4112-46E3-83E6-642DCCD58AE8}"/>
    <cellStyle name="Normal 5 6 2 2 2" xfId="9521" xr:uid="{B77093FE-7D77-40F3-BB8F-345B359AEB1A}"/>
    <cellStyle name="Normal 5 6 2 2 2 2" xfId="9522" xr:uid="{3DD43DFC-F6C1-4C36-95EE-E429D97741D6}"/>
    <cellStyle name="Normal 5 6 2 2 2 3" xfId="9523" xr:uid="{4EFB3302-C26E-4BE9-9FEE-17D2C8093113}"/>
    <cellStyle name="Normal 5 6 2 2 3" xfId="9524" xr:uid="{A8F03A32-3EB9-42BE-9CF0-4BA486AB2104}"/>
    <cellStyle name="Normal 5 6 2 2 4" xfId="9525" xr:uid="{244C1B71-04B8-4039-9724-5B38B8883597}"/>
    <cellStyle name="Normal 5 6 2 2 5" xfId="9526" xr:uid="{551756E1-28A3-48FB-90E5-99D0EDA56B54}"/>
    <cellStyle name="Normal 5 6 2 3" xfId="9527" xr:uid="{D0935E10-5781-4BEA-B96E-E35E2102653B}"/>
    <cellStyle name="Normal 5 6 2 3 2" xfId="9528" xr:uid="{A0E4A9FA-C4AA-48E2-BC15-E1BD0FC0D4C5}"/>
    <cellStyle name="Normal 5 6 2 3 2 2" xfId="9529" xr:uid="{9E980E0B-7587-429C-9A43-0D1422AACE36}"/>
    <cellStyle name="Normal 5 6 2 3 2 3" xfId="9530" xr:uid="{F1F26AC5-FD5C-47B6-A844-FD564899519E}"/>
    <cellStyle name="Normal 5 6 2 3 3" xfId="9531" xr:uid="{3AE6D190-9996-4D4F-8239-74A36536523D}"/>
    <cellStyle name="Normal 5 6 2 3 4" xfId="9532" xr:uid="{8D9AA315-E00E-4F7A-B1E0-B9977E109ED5}"/>
    <cellStyle name="Normal 5 6 2 3 5" xfId="9533" xr:uid="{53EB8094-8C27-48D2-9BE0-B34023CBA7C8}"/>
    <cellStyle name="Normal 5 6 2 4" xfId="9534" xr:uid="{106EC044-533E-45CF-9C6B-C80B047D3D96}"/>
    <cellStyle name="Normal 5 6 2 4 2" xfId="9535" xr:uid="{E261E775-6C09-4046-9825-0E489A92EAEA}"/>
    <cellStyle name="Normal 5 6 2 4 3" xfId="9536" xr:uid="{FF1F8D9E-899C-46DF-A144-3A0B115C9C0D}"/>
    <cellStyle name="Normal 5 6 2 5" xfId="9537" xr:uid="{04C41506-F922-4E32-B13D-D6C6837D98E9}"/>
    <cellStyle name="Normal 5 6 2 6" xfId="9538" xr:uid="{74379E7B-8FB2-40BD-917D-E58BE8855C30}"/>
    <cellStyle name="Normal 5 6 2 7" xfId="9539" xr:uid="{484C45E1-52CE-48E4-A119-37524D7F5FB1}"/>
    <cellStyle name="Normal 5 6 3" xfId="9540" xr:uid="{2780AB0A-AA44-457A-8236-E351019C2AE5}"/>
    <cellStyle name="Normal 5 6 3 2" xfId="9541" xr:uid="{CEAB3CA2-B8F6-47B1-AA96-C88CC3933F38}"/>
    <cellStyle name="Normal 5 6 3 2 2" xfId="9542" xr:uid="{0BE4E2BF-C624-4E60-847B-BDE2F30E2D88}"/>
    <cellStyle name="Normal 5 6 3 2 3" xfId="9543" xr:uid="{4B0D8098-01E5-4F56-B2C0-EAB9A4B8A29F}"/>
    <cellStyle name="Normal 5 6 3 3" xfId="9544" xr:uid="{7B56AF41-A0B6-4DC0-A4E6-714BB0ABECB8}"/>
    <cellStyle name="Normal 5 6 3 4" xfId="9545" xr:uid="{C993B026-6F9B-474B-8A88-C346D6071AEB}"/>
    <cellStyle name="Normal 5 6 3 5" xfId="9546" xr:uid="{464E60C0-BE45-4285-A114-930AE3F7BCCC}"/>
    <cellStyle name="Normal 5 6 4" xfId="9547" xr:uid="{4C2F5A4D-C997-4CA3-A27F-A1E6CC4E0204}"/>
    <cellStyle name="Normal 5 6 4 2" xfId="9548" xr:uid="{D1E15AB6-D2AB-43B5-A4DF-72A77B24AC47}"/>
    <cellStyle name="Normal 5 6 4 2 2" xfId="9549" xr:uid="{9109722E-9E61-4A86-B370-8402F7AA4029}"/>
    <cellStyle name="Normal 5 6 4 2 3" xfId="9550" xr:uid="{34D306AF-6534-48AF-B3B8-F104022912C0}"/>
    <cellStyle name="Normal 5 6 4 3" xfId="9551" xr:uid="{22B759AD-D557-4568-A7DF-4ECD824CBD80}"/>
    <cellStyle name="Normal 5 6 4 4" xfId="9552" xr:uid="{4CB98C66-74E9-4C2F-BAB7-0EE9DE7FD255}"/>
    <cellStyle name="Normal 5 6 4 5" xfId="9553" xr:uid="{63BA7329-A1A4-40E1-8E79-39F390600528}"/>
    <cellStyle name="Normal 5 6 5" xfId="9554" xr:uid="{7B46C73C-A75A-4133-8673-078D47879D3E}"/>
    <cellStyle name="Normal 5 6 5 2" xfId="9555" xr:uid="{095CE48F-1886-4B0E-B420-044CEFD9B594}"/>
    <cellStyle name="Normal 5 6 5 3" xfId="9556" xr:uid="{ED32FADE-E3C0-4E1A-9B26-6DEF794FDAE2}"/>
    <cellStyle name="Normal 5 6 6" xfId="9557" xr:uid="{9D8DA0B7-0A67-4C75-95B8-1DD9F8B855C9}"/>
    <cellStyle name="Normal 5 6 7" xfId="9558" xr:uid="{59F3C129-2E45-4B0E-8F64-E930143BD675}"/>
    <cellStyle name="Normal 5 6 8" xfId="9559" xr:uid="{2DD61C1F-1493-4CA0-949C-21E780727B8A}"/>
    <cellStyle name="Normal 5 7" xfId="9560" xr:uid="{5E80D424-B453-4CEF-AF50-73AE17A8B540}"/>
    <cellStyle name="Normal 5 7 2" xfId="9561" xr:uid="{15935B83-9F3F-4D87-BF5A-0B2920988A80}"/>
    <cellStyle name="Normal 5 7 2 2" xfId="9562" xr:uid="{E8B0E147-D516-4B71-AD11-EACE3AA0BF81}"/>
    <cellStyle name="Normal 5 7 2 2 2" xfId="9563" xr:uid="{F6625C89-5AA4-42BC-BEC7-0A4B0B3F5466}"/>
    <cellStyle name="Normal 5 7 2 2 3" xfId="9564" xr:uid="{0DAA84B5-D7B8-4BB0-8626-681075CC4234}"/>
    <cellStyle name="Normal 5 7 2 3" xfId="9565" xr:uid="{F8B19549-4830-4CE2-8B36-1F7AC444D117}"/>
    <cellStyle name="Normal 5 7 2 4" xfId="9566" xr:uid="{06E6D3B4-92C6-429D-84EA-997106DB07BD}"/>
    <cellStyle name="Normal 5 7 2 5" xfId="9567" xr:uid="{32DDDF62-FB6F-4819-9206-E095C8B2A063}"/>
    <cellStyle name="Normal 5 7 3" xfId="9568" xr:uid="{622B387F-D20B-4442-B6D8-D85DFA6C09E9}"/>
    <cellStyle name="Normal 5 7 3 2" xfId="9569" xr:uid="{9DEE0C90-77E5-4A9C-8473-58D95BCB6A7B}"/>
    <cellStyle name="Normal 5 7 3 2 2" xfId="9570" xr:uid="{C420263C-F6B8-4659-A6BF-1FDB5989D0B1}"/>
    <cellStyle name="Normal 5 7 3 2 3" xfId="9571" xr:uid="{4A11A503-8B12-4242-883B-3896EC1D7665}"/>
    <cellStyle name="Normal 5 7 3 3" xfId="9572" xr:uid="{1860C570-F120-47A9-9705-FFC53496B05C}"/>
    <cellStyle name="Normal 5 7 3 4" xfId="9573" xr:uid="{D63237F0-D6A4-4B3B-AD42-0258FDE51FC4}"/>
    <cellStyle name="Normal 5 7 3 5" xfId="9574" xr:uid="{AAA332B3-0D34-40FA-BD47-93EDD4F844D6}"/>
    <cellStyle name="Normal 5 8" xfId="9575" xr:uid="{AD901BE7-0820-42B0-9C99-C699E1329863}"/>
    <cellStyle name="Normal 5 8 2" xfId="9576" xr:uid="{38CF70CD-2893-4535-B802-2F9F8A6FE30D}"/>
    <cellStyle name="Normal 5 8 2 2" xfId="9577" xr:uid="{B858997C-129F-423A-A176-871F0ACA7F50}"/>
    <cellStyle name="Normal 5 8 2 2 2" xfId="9578" xr:uid="{C8477D9E-D77B-49E0-95BD-29C8D50F935B}"/>
    <cellStyle name="Normal 5 8 2 2 3" xfId="9579" xr:uid="{328BBE6C-CB8D-46A4-A5F8-C1FCA0CA31A9}"/>
    <cellStyle name="Normal 5 8 2 3" xfId="9580" xr:uid="{7DAB9B5C-F0FE-4B09-B1DF-FB1DDBE09712}"/>
    <cellStyle name="Normal 5 8 2 4" xfId="9581" xr:uid="{3C8A36B6-9EE6-456B-A866-0B7678944F76}"/>
    <cellStyle name="Normal 5 8 2 5" xfId="9582" xr:uid="{A4F821C9-2173-409A-B51C-F8965553C5A3}"/>
    <cellStyle name="Normal 5 8 3" xfId="9583" xr:uid="{95000AFC-4090-41FB-8A20-6578A9FD6C2B}"/>
    <cellStyle name="Normal 5 8 3 2" xfId="9584" xr:uid="{A7C10275-1C96-449D-9051-DBC1BADBD16D}"/>
    <cellStyle name="Normal 5 8 3 2 2" xfId="9585" xr:uid="{B2A81CB1-0E0E-461D-9E98-1679538C1E82}"/>
    <cellStyle name="Normal 5 8 3 2 3" xfId="9586" xr:uid="{F25EEB76-616B-4707-AE3E-DCC58534DEB8}"/>
    <cellStyle name="Normal 5 8 3 3" xfId="9587" xr:uid="{E31F99CC-516B-42A9-A14D-D4005879FFA2}"/>
    <cellStyle name="Normal 5 8 3 4" xfId="9588" xr:uid="{3CEA9408-FA78-4CBE-AC2F-A01FEDA6FDB6}"/>
    <cellStyle name="Normal 5 8 3 5" xfId="9589" xr:uid="{979F9341-98F4-46DA-A53B-D60FCD930FBF}"/>
    <cellStyle name="Normal 5 8 4" xfId="9590" xr:uid="{C765996A-9871-4D01-B6DB-4C273C393982}"/>
    <cellStyle name="Normal 5 8 4 2" xfId="9591" xr:uid="{7BDA8F1A-C388-4AD1-88B4-4D439F5109D4}"/>
    <cellStyle name="Normal 5 8 4 3" xfId="9592" xr:uid="{03425AAE-327B-4571-A492-D659F62F53F2}"/>
    <cellStyle name="Normal 5 8 5" xfId="9593" xr:uid="{809A4D8E-CAE9-40FA-A485-B850EEB03A6A}"/>
    <cellStyle name="Normal 5 8 6" xfId="9594" xr:uid="{D581AEF7-64E7-4BA0-8570-3788BB44686D}"/>
    <cellStyle name="Normal 5 8 7" xfId="9595" xr:uid="{284179C2-F228-4277-9821-D24A8FBC43A1}"/>
    <cellStyle name="Normal 5 9" xfId="9596" xr:uid="{288F593B-176E-424D-AE64-1896051FAD81}"/>
    <cellStyle name="Normal 5 9 2" xfId="9597" xr:uid="{360528ED-24C5-42E6-ADC6-2707788073FF}"/>
    <cellStyle name="Normal 5 9 2 2" xfId="9598" xr:uid="{FB0ADAC4-9C58-4EDF-941E-3E3F6A47056A}"/>
    <cellStyle name="Normal 5 9 2 3" xfId="9599" xr:uid="{9BB324D6-36DF-417F-AC2C-2F0B3D23EC09}"/>
    <cellStyle name="Normal 5 9 3" xfId="9600" xr:uid="{C734D116-2A59-4CC5-89D2-4D5C3617AADE}"/>
    <cellStyle name="Normal 5 9 4" xfId="9601" xr:uid="{71A912C4-6A51-4730-ABB1-25AC2EB819B2}"/>
    <cellStyle name="Normal 5 9 5" xfId="9602" xr:uid="{DDF4ED0B-3409-42A6-8D02-CCDFC5999754}"/>
    <cellStyle name="Normal 50" xfId="565" xr:uid="{51EB5C2F-9BEB-4D95-B4C8-F2B3195C25AD}"/>
    <cellStyle name="Normal 51" xfId="566" xr:uid="{E28EC4AC-2B28-446D-974A-1AFE69A4C464}"/>
    <cellStyle name="Normal 52" xfId="822" xr:uid="{C3E0F9DE-582A-4E6A-BCB5-763E4A482966}"/>
    <cellStyle name="Normal 53" xfId="9603" xr:uid="{80E2A3C5-47FA-49DE-9214-8F0CCBE95182}"/>
    <cellStyle name="Normal 53 2" xfId="9604" xr:uid="{31D2D628-ACF7-47C4-BC0C-ECB636426586}"/>
    <cellStyle name="Normal 54" xfId="10333" xr:uid="{47A7FB81-7CDC-4A15-962D-66D6622FC97F}"/>
    <cellStyle name="Normal 55" xfId="10335" xr:uid="{3B17D609-B6BD-4FCF-AA0F-F11D00E4AE0B}"/>
    <cellStyle name="Normal 6" xfId="344" xr:uid="{00000000-0005-0000-0000-0000B3010000}"/>
    <cellStyle name="Normal 6 10" xfId="1271" xr:uid="{CE229A56-D9AD-4B78-BCFF-9D0D89D6100E}"/>
    <cellStyle name="Normal 6 10 2" xfId="1487" xr:uid="{7D80C368-C9A0-4311-8FDB-8B5B54DA8480}"/>
    <cellStyle name="Normal 6 10 2 2" xfId="10221" xr:uid="{C9A99C32-C939-4A16-AA3D-1470EFC2F989}"/>
    <cellStyle name="Normal 6 10 3" xfId="10005" xr:uid="{677787EF-FC63-4A06-A19E-7B30C812E3D1}"/>
    <cellStyle name="Normal 6 11" xfId="1343" xr:uid="{025B9046-770C-4711-864E-5986A395BBC6}"/>
    <cellStyle name="Normal 6 11 2" xfId="10077" xr:uid="{A72F2200-6F31-4A1A-ABCE-9B01ABB6917F}"/>
    <cellStyle name="Normal 6 12" xfId="9859" xr:uid="{5FE848D4-8A3F-4E72-840D-45D02CDE8A61}"/>
    <cellStyle name="Normal 6 13" xfId="735" xr:uid="{CA88E99C-6075-442F-A745-840A448037D2}"/>
    <cellStyle name="Normal 6 2" xfId="559" xr:uid="{A3D886A9-A5D7-48B0-82D0-104A38B76D05}"/>
    <cellStyle name="Normal 6 2 10" xfId="9860" xr:uid="{52E13C10-6C56-4239-91FA-6414406ED41B}"/>
    <cellStyle name="Normal 6 2 11" xfId="736" xr:uid="{075B86F8-ABF2-47FF-BFA1-2820EDAC1C50}"/>
    <cellStyle name="Normal 6 2 2" xfId="737" xr:uid="{758C354F-9A3B-49C5-841D-332DFFCE5B4A}"/>
    <cellStyle name="Normal 6 2 2 2" xfId="738" xr:uid="{A6FBFB0F-48C8-4ED8-BA8E-84EC2FDD48D2}"/>
    <cellStyle name="Normal 6 2 2 2 2" xfId="892" xr:uid="{BDD7667E-E747-49DF-A99C-1770A4A63BF7}"/>
    <cellStyle name="Normal 6 2 2 2 2 2" xfId="1205" xr:uid="{03135E5D-9362-4C1C-B836-F45079170B84}"/>
    <cellStyle name="Normal 6 2 2 2 2 2 2" xfId="1431" xr:uid="{B410AADE-CE29-4159-8975-2ADB00B96D54}"/>
    <cellStyle name="Normal 6 2 2 2 2 2 2 2" xfId="10165" xr:uid="{5590015D-9CE6-4B59-A69C-889225F51918}"/>
    <cellStyle name="Normal 6 2 2 2 2 2 3" xfId="9949" xr:uid="{838321A3-F162-48A6-8E01-4BDEDCACAC31}"/>
    <cellStyle name="Normal 6 2 2 2 2 3" xfId="1287" xr:uid="{01E3DB6F-0704-4118-8362-F3F9C2F35B8C}"/>
    <cellStyle name="Normal 6 2 2 2 2 3 2" xfId="1503" xr:uid="{D4055171-BC39-403A-BF15-D9255B74141E}"/>
    <cellStyle name="Normal 6 2 2 2 2 3 2 2" xfId="10237" xr:uid="{5E2D3C2B-E5AD-40F2-9662-D9B35B283EB6}"/>
    <cellStyle name="Normal 6 2 2 2 2 3 3" xfId="10021" xr:uid="{64EB4ABD-D69F-4A63-9989-D2B49DCFD0FF}"/>
    <cellStyle name="Normal 6 2 2 2 2 4" xfId="1359" xr:uid="{62066ED2-A254-4E45-9555-9961B822F749}"/>
    <cellStyle name="Normal 6 2 2 2 2 4 2" xfId="10093" xr:uid="{6E9A04B7-1B3B-4868-BB63-3DE9F9B1A0E5}"/>
    <cellStyle name="Normal 6 2 2 2 2 5" xfId="9877" xr:uid="{1498393F-8D70-4A75-93FD-CB785C6E3C54}"/>
    <cellStyle name="Normal 6 2 2 2 3" xfId="934" xr:uid="{BDE6AF50-5C6C-487E-ACE2-9C9109F7941D}"/>
    <cellStyle name="Normal 6 2 2 2 3 2" xfId="1218" xr:uid="{8AF0AF42-540D-46C3-923E-36DB50F5D00B}"/>
    <cellStyle name="Normal 6 2 2 2 3 2 2" xfId="1444" xr:uid="{A9CC743F-A9EE-4CC7-8787-0929675FA55E}"/>
    <cellStyle name="Normal 6 2 2 2 3 2 2 2" xfId="10178" xr:uid="{6E420766-88F5-436A-B8A4-628AF2DA09C2}"/>
    <cellStyle name="Normal 6 2 2 2 3 2 3" xfId="9962" xr:uid="{125CF202-515E-42E7-980E-DC020A998B13}"/>
    <cellStyle name="Normal 6 2 2 2 3 3" xfId="1300" xr:uid="{77E88426-2C7D-4C41-9303-2D1CEF7D2DCA}"/>
    <cellStyle name="Normal 6 2 2 2 3 3 2" xfId="1516" xr:uid="{7010B005-1300-4A46-8377-79E53DD32960}"/>
    <cellStyle name="Normal 6 2 2 2 3 3 2 2" xfId="10250" xr:uid="{86905148-44DD-4548-9C83-24F1DF6F03CA}"/>
    <cellStyle name="Normal 6 2 2 2 3 3 3" xfId="10034" xr:uid="{503EAA00-3BD2-4953-B337-3BFEDCD9DDFB}"/>
    <cellStyle name="Normal 6 2 2 2 3 4" xfId="1372" xr:uid="{06FBD0AC-CDF2-4DA5-96C4-0DA0112482C1}"/>
    <cellStyle name="Normal 6 2 2 2 3 4 2" xfId="10106" xr:uid="{2296A04E-6675-4C53-9759-D352A9A0C6D5}"/>
    <cellStyle name="Normal 6 2 2 2 3 5" xfId="9890" xr:uid="{489D2521-BABB-40EC-A438-064872F57E67}"/>
    <cellStyle name="Normal 6 2 2 2 4" xfId="1152" xr:uid="{60625BC9-2782-427B-AB9A-189BE28118F7}"/>
    <cellStyle name="Normal 6 2 2 2 4 2" xfId="1255" xr:uid="{E327ED29-1C53-49B4-B38A-D92A89B6AF77}"/>
    <cellStyle name="Normal 6 2 2 2 4 2 2" xfId="1471" xr:uid="{F477E1A9-8252-4A63-8C81-59D921062D54}"/>
    <cellStyle name="Normal 6 2 2 2 4 2 2 2" xfId="10205" xr:uid="{C988CAD0-A346-4BB0-89F7-1F1552C67662}"/>
    <cellStyle name="Normal 6 2 2 2 4 2 3" xfId="9989" xr:uid="{74F561A2-DADE-452D-A056-A21800B149CF}"/>
    <cellStyle name="Normal 6 2 2 2 4 3" xfId="1327" xr:uid="{2333D294-189B-470A-939E-E5973B71FDAD}"/>
    <cellStyle name="Normal 6 2 2 2 4 3 2" xfId="1543" xr:uid="{0337A12B-079D-4FE1-A955-5196FEEC1B88}"/>
    <cellStyle name="Normal 6 2 2 2 4 3 2 2" xfId="10277" xr:uid="{116319E4-70B0-408E-B90F-388200AFF35F}"/>
    <cellStyle name="Normal 6 2 2 2 4 3 3" xfId="10061" xr:uid="{3E3B4942-16E2-456C-BBE7-F9939E55813E}"/>
    <cellStyle name="Normal 6 2 2 2 4 4" xfId="1399" xr:uid="{303B7A6E-3B48-4A3E-A438-65FC3E2E7C35}"/>
    <cellStyle name="Normal 6 2 2 2 4 4 2" xfId="10133" xr:uid="{8063088E-1EA1-459B-85E8-860CE00C102E}"/>
    <cellStyle name="Normal 6 2 2 2 4 5" xfId="9917" xr:uid="{0CC6FD84-B0E2-4AB7-A50F-92D457F4178E}"/>
    <cellStyle name="Normal 6 2 2 2 5" xfId="1191" xr:uid="{EDBAE491-731B-4D27-90E0-666A8CB9CE80}"/>
    <cellStyle name="Normal 6 2 2 2 5 2" xfId="1418" xr:uid="{1CAD0307-2B86-4AEF-9552-72F764FFE6A3}"/>
    <cellStyle name="Normal 6 2 2 2 5 2 2" xfId="10152" xr:uid="{4AA3376F-183F-4D0E-A6CA-5226CF106986}"/>
    <cellStyle name="Normal 6 2 2 2 5 3" xfId="9936" xr:uid="{1013327C-B0D7-4B01-AAFB-1EF2F82EA745}"/>
    <cellStyle name="Normal 6 2 2 2 6" xfId="1274" xr:uid="{6B779A71-4A10-461B-A016-29F127C6AB97}"/>
    <cellStyle name="Normal 6 2 2 2 6 2" xfId="1490" xr:uid="{F0286EE9-5C19-4EAC-8E4B-8804DBC05189}"/>
    <cellStyle name="Normal 6 2 2 2 6 2 2" xfId="10224" xr:uid="{5F0D9F60-2F2D-4171-8A2E-D16556A99BC8}"/>
    <cellStyle name="Normal 6 2 2 2 6 3" xfId="10008" xr:uid="{A829E5DA-A97D-4BC3-A7B6-CAB2FB4B5A70}"/>
    <cellStyle name="Normal 6 2 2 2 7" xfId="1346" xr:uid="{9BABF437-F8DF-4640-A515-3D5BC6A73C21}"/>
    <cellStyle name="Normal 6 2 2 2 7 2" xfId="10080" xr:uid="{CEF8EBF1-7EAB-4D71-9A24-EC9988EC7024}"/>
    <cellStyle name="Normal 6 2 2 2 8" xfId="9862" xr:uid="{E6699BD9-E65B-47B1-A96A-C46DD25BC0FD}"/>
    <cellStyle name="Normal 6 2 2 3" xfId="891" xr:uid="{D06B2BC2-AA25-4E11-A0B2-62AA63464821}"/>
    <cellStyle name="Normal 6 2 2 3 2" xfId="1204" xr:uid="{34AAAE01-052F-4E72-A469-5384A32AD3C5}"/>
    <cellStyle name="Normal 6 2 2 3 2 2" xfId="1430" xr:uid="{2E3E3E99-B321-454D-8BCE-911536291B23}"/>
    <cellStyle name="Normal 6 2 2 3 2 2 2" xfId="10164" xr:uid="{63F91C5F-E1B0-453A-97E5-7FB4F0CBAEEE}"/>
    <cellStyle name="Normal 6 2 2 3 2 3" xfId="9948" xr:uid="{93676402-3367-42FC-AF8F-EBB32B183833}"/>
    <cellStyle name="Normal 6 2 2 3 3" xfId="1286" xr:uid="{0408CE2E-9AF3-4075-8CE9-DC9B7B6F3BFB}"/>
    <cellStyle name="Normal 6 2 2 3 3 2" xfId="1502" xr:uid="{776190E7-F205-474F-A891-DC4EC1CAFBBB}"/>
    <cellStyle name="Normal 6 2 2 3 3 2 2" xfId="10236" xr:uid="{912F4C5A-B7FE-471D-B9F9-1A1CAE0EB7F6}"/>
    <cellStyle name="Normal 6 2 2 3 3 3" xfId="10020" xr:uid="{E71E998D-FF66-42E2-862B-26F415A1F812}"/>
    <cellStyle name="Normal 6 2 2 3 4" xfId="1358" xr:uid="{3520AB37-BD67-4DDA-A24C-5ADAB8A32B2B}"/>
    <cellStyle name="Normal 6 2 2 3 4 2" xfId="10092" xr:uid="{F7997C32-F025-4202-899D-9C6250AB62F5}"/>
    <cellStyle name="Normal 6 2 2 3 5" xfId="9876" xr:uid="{2DC6C6D6-7A69-4F98-816F-3A357E244815}"/>
    <cellStyle name="Normal 6 2 2 4" xfId="933" xr:uid="{6872CD6F-9DF9-4217-B75E-B3E50BA9F20D}"/>
    <cellStyle name="Normal 6 2 2 4 2" xfId="1217" xr:uid="{FE2299EB-6E69-461B-B494-D899C91B82E1}"/>
    <cellStyle name="Normal 6 2 2 4 2 2" xfId="1443" xr:uid="{DF358A3F-A0DC-4791-AC95-3C40646E0F84}"/>
    <cellStyle name="Normal 6 2 2 4 2 2 2" xfId="10177" xr:uid="{DD764683-9E39-4DBF-A397-1F14C2C69C30}"/>
    <cellStyle name="Normal 6 2 2 4 2 3" xfId="9961" xr:uid="{98F05206-1EF4-4140-BBD0-D4A6B3E6F2A7}"/>
    <cellStyle name="Normal 6 2 2 4 3" xfId="1299" xr:uid="{D4BC9B03-3DB4-4D3D-8573-B1C428A8B24A}"/>
    <cellStyle name="Normal 6 2 2 4 3 2" xfId="1515" xr:uid="{AA54A9BE-62F2-4975-887E-B2D69ED43058}"/>
    <cellStyle name="Normal 6 2 2 4 3 2 2" xfId="10249" xr:uid="{0A8B817C-ECCF-44A0-8F22-15F84014157C}"/>
    <cellStyle name="Normal 6 2 2 4 3 3" xfId="10033" xr:uid="{1092E5FF-B6E2-45BC-A34B-1BA55192FA9A}"/>
    <cellStyle name="Normal 6 2 2 4 4" xfId="1371" xr:uid="{9BC767B0-0ED4-4883-B459-A8D31AF46636}"/>
    <cellStyle name="Normal 6 2 2 4 4 2" xfId="10105" xr:uid="{F25AAE39-D916-4F43-93E1-0FD915911E38}"/>
    <cellStyle name="Normal 6 2 2 4 5" xfId="9889" xr:uid="{3C004AAE-FA6B-46CA-98E4-D8AE379BE1ED}"/>
    <cellStyle name="Normal 6 2 2 5" xfId="1151" xr:uid="{31B3D953-EC0A-492C-8E01-2ABC54B64967}"/>
    <cellStyle name="Normal 6 2 2 5 2" xfId="1254" xr:uid="{E7DBC579-60C6-4DB8-A9FC-CA3690FCC38E}"/>
    <cellStyle name="Normal 6 2 2 5 2 2" xfId="1470" xr:uid="{B7FE7BD5-94DD-4928-B239-0C915FC3E99E}"/>
    <cellStyle name="Normal 6 2 2 5 2 2 2" xfId="10204" xr:uid="{75536B1E-AD98-4BB7-AB8D-DD3EA34ED173}"/>
    <cellStyle name="Normal 6 2 2 5 2 3" xfId="9988" xr:uid="{1FCA661E-C5AE-4855-AD9B-A85774F4CD4F}"/>
    <cellStyle name="Normal 6 2 2 5 3" xfId="1326" xr:uid="{E9E278B6-FADC-4845-9DA6-5C6B0AE57885}"/>
    <cellStyle name="Normal 6 2 2 5 3 2" xfId="1542" xr:uid="{264192A5-1517-4D4E-AA8B-E9A3270B6CF6}"/>
    <cellStyle name="Normal 6 2 2 5 3 2 2" xfId="10276" xr:uid="{EA27B8F4-3E44-4BC8-9EBB-39654561FB91}"/>
    <cellStyle name="Normal 6 2 2 5 3 3" xfId="10060" xr:uid="{AB688565-3025-48FB-A005-71485192ECCD}"/>
    <cellStyle name="Normal 6 2 2 5 4" xfId="1398" xr:uid="{E9B117E2-098E-4B80-878C-4D1AA00BBFB6}"/>
    <cellStyle name="Normal 6 2 2 5 4 2" xfId="10132" xr:uid="{28B2C9C3-2986-416E-BF9B-AC8B37B502F4}"/>
    <cellStyle name="Normal 6 2 2 5 5" xfId="9916" xr:uid="{FBED21F8-412F-4A99-83B9-3B741B2840A4}"/>
    <cellStyle name="Normal 6 2 2 6" xfId="1190" xr:uid="{A97E82AF-1FBA-488F-BE45-70E489EC3E8E}"/>
    <cellStyle name="Normal 6 2 2 6 2" xfId="1417" xr:uid="{F14C5A74-3079-4C01-A88B-4C03E3D5D1DA}"/>
    <cellStyle name="Normal 6 2 2 6 2 2" xfId="10151" xr:uid="{A1ABCF3D-6B9C-4774-85B8-C036047FBB43}"/>
    <cellStyle name="Normal 6 2 2 6 3" xfId="9935" xr:uid="{C6D856E9-00D0-42C3-9E11-A1D9A573EEF9}"/>
    <cellStyle name="Normal 6 2 2 7" xfId="1273" xr:uid="{17E2EDBA-6BB0-4E89-A603-27BFE07F3DA8}"/>
    <cellStyle name="Normal 6 2 2 7 2" xfId="1489" xr:uid="{354D7759-8978-472E-A373-B334EBEC17DE}"/>
    <cellStyle name="Normal 6 2 2 7 2 2" xfId="10223" xr:uid="{A3D57489-EFE7-4CAF-B2FC-30F07EF63E8A}"/>
    <cellStyle name="Normal 6 2 2 7 3" xfId="10007" xr:uid="{63D49A1F-AD4B-4915-8CA0-6485CE3811D9}"/>
    <cellStyle name="Normal 6 2 2 8" xfId="1345" xr:uid="{B32A3A9D-B061-4955-8294-15BBB22BDBFB}"/>
    <cellStyle name="Normal 6 2 2 8 2" xfId="10079" xr:uid="{DF580ECF-4C92-4C0B-B078-9B450D732E1F}"/>
    <cellStyle name="Normal 6 2 2 9" xfId="9861" xr:uid="{1E1BDF24-8C21-497B-9D86-E6E2ED9F4C93}"/>
    <cellStyle name="Normal 6 2 3" xfId="739" xr:uid="{FF4A075A-6D5A-40C3-B6A4-EEB84A6AA0CA}"/>
    <cellStyle name="Normal 6 2 3 2" xfId="893" xr:uid="{DAADA149-C4FC-424D-BB54-F5B0253377F9}"/>
    <cellStyle name="Normal 6 2 3 2 2" xfId="1206" xr:uid="{516BF799-1718-4960-81D2-DF29F89AE8F2}"/>
    <cellStyle name="Normal 6 2 3 2 2 2" xfId="1432" xr:uid="{B404DD8F-FE77-4592-90CB-EA83538982DD}"/>
    <cellStyle name="Normal 6 2 3 2 2 2 2" xfId="10166" xr:uid="{C9D9C693-E46F-4227-AA65-3A18FF55B5D0}"/>
    <cellStyle name="Normal 6 2 3 2 2 3" xfId="9950" xr:uid="{8B4A7658-4769-4186-B7B6-D665B7675388}"/>
    <cellStyle name="Normal 6 2 3 2 3" xfId="1288" xr:uid="{994DB1C3-4366-4855-BD66-30F573BBB91F}"/>
    <cellStyle name="Normal 6 2 3 2 3 2" xfId="1504" xr:uid="{2238FE42-B63E-4BB9-8D1A-BEE9482BB5D0}"/>
    <cellStyle name="Normal 6 2 3 2 3 2 2" xfId="10238" xr:uid="{BCFEAC6D-5866-44FA-B0F5-36E73D8A835E}"/>
    <cellStyle name="Normal 6 2 3 2 3 3" xfId="10022" xr:uid="{0DBB4543-30DB-46CC-BF0B-CB457D87BD34}"/>
    <cellStyle name="Normal 6 2 3 2 4" xfId="1360" xr:uid="{A0A18114-ADE9-4CEB-9765-A0501CB194EF}"/>
    <cellStyle name="Normal 6 2 3 2 4 2" xfId="10094" xr:uid="{F6C32EB0-7A4B-4FEA-A430-5C9DD5B1F525}"/>
    <cellStyle name="Normal 6 2 3 2 5" xfId="9878" xr:uid="{7DAFDB70-DC84-4013-82D1-0CF35F1E087D}"/>
    <cellStyle name="Normal 6 2 3 3" xfId="935" xr:uid="{AA5C04E2-ED63-4583-9762-54AD81730C48}"/>
    <cellStyle name="Normal 6 2 3 3 2" xfId="1219" xr:uid="{2DA62F51-3086-4C25-8BBB-A17AC6A075B9}"/>
    <cellStyle name="Normal 6 2 3 3 2 2" xfId="1445" xr:uid="{EC39E4A8-FF06-41E3-821E-7A6A578E4762}"/>
    <cellStyle name="Normal 6 2 3 3 2 2 2" xfId="10179" xr:uid="{43BE2FB4-7A6A-41D3-B665-CBA524275DAA}"/>
    <cellStyle name="Normal 6 2 3 3 2 3" xfId="9963" xr:uid="{7744D207-FFAF-408B-BFFF-42AA888A35AC}"/>
    <cellStyle name="Normal 6 2 3 3 3" xfId="1301" xr:uid="{2F8F9052-F3C4-49CE-98C6-01EBAC69F9B2}"/>
    <cellStyle name="Normal 6 2 3 3 3 2" xfId="1517" xr:uid="{1EA20AB5-8E77-404C-9003-34994E9DBA1B}"/>
    <cellStyle name="Normal 6 2 3 3 3 2 2" xfId="10251" xr:uid="{55B4B56A-9C6A-4614-B6A0-AE0EB2F45BAA}"/>
    <cellStyle name="Normal 6 2 3 3 3 3" xfId="10035" xr:uid="{7441F735-4861-4C9E-A1B1-1A8E9C836736}"/>
    <cellStyle name="Normal 6 2 3 3 4" xfId="1373" xr:uid="{28268F27-9E70-4B3B-AC97-AA9A0DE26839}"/>
    <cellStyle name="Normal 6 2 3 3 4 2" xfId="10107" xr:uid="{D3604DDE-33E9-43D2-B5E3-0F56DB341012}"/>
    <cellStyle name="Normal 6 2 3 3 5" xfId="9891" xr:uid="{71F7920B-C0F1-4410-A41A-ADE10B2617D8}"/>
    <cellStyle name="Normal 6 2 3 4" xfId="1153" xr:uid="{2932F0D4-0634-4B21-8A00-BA3BE20F0AD6}"/>
    <cellStyle name="Normal 6 2 3 4 2" xfId="1256" xr:uid="{A4523228-07CD-4EA5-89D2-ECE5CA48CE32}"/>
    <cellStyle name="Normal 6 2 3 4 2 2" xfId="1472" xr:uid="{F48D7169-03C5-4EE4-864F-896B7D6A390F}"/>
    <cellStyle name="Normal 6 2 3 4 2 2 2" xfId="10206" xr:uid="{9A603FC3-EE3B-4E7A-B917-70FC47177EC9}"/>
    <cellStyle name="Normal 6 2 3 4 2 3" xfId="9990" xr:uid="{55D4054C-7717-4ED0-85A6-7FDD58D3043B}"/>
    <cellStyle name="Normal 6 2 3 4 3" xfId="1328" xr:uid="{C1E9ED4B-14D4-4A6B-AFA9-DEE1C59E8C04}"/>
    <cellStyle name="Normal 6 2 3 4 3 2" xfId="1544" xr:uid="{C386E3F8-643C-4C9C-86D3-7B7579B867D5}"/>
    <cellStyle name="Normal 6 2 3 4 3 2 2" xfId="10278" xr:uid="{6204B8E4-6615-4AF8-9C58-05C73133112F}"/>
    <cellStyle name="Normal 6 2 3 4 3 3" xfId="10062" xr:uid="{AC2EB45A-6B90-4533-B502-4812EF8E7925}"/>
    <cellStyle name="Normal 6 2 3 4 4" xfId="1400" xr:uid="{EFD82D3E-E041-436A-A110-0E0AA058AE98}"/>
    <cellStyle name="Normal 6 2 3 4 4 2" xfId="10134" xr:uid="{E16C7939-AD3D-491B-90B6-F83A212592BD}"/>
    <cellStyle name="Normal 6 2 3 4 5" xfId="9918" xr:uid="{2C596E11-B39E-4C2E-B21C-D91623834D5B}"/>
    <cellStyle name="Normal 6 2 3 5" xfId="1192" xr:uid="{28D8657A-227D-402E-AFA3-5545BA3A7A39}"/>
    <cellStyle name="Normal 6 2 3 5 2" xfId="1419" xr:uid="{CB6700B0-5BAF-4834-B7ED-C516E5DAE32C}"/>
    <cellStyle name="Normal 6 2 3 5 2 2" xfId="10153" xr:uid="{AFE2D1D2-BCE5-4070-8768-26710A774FCD}"/>
    <cellStyle name="Normal 6 2 3 5 3" xfId="9937" xr:uid="{E351D394-838E-4BFB-A199-6072C46B704B}"/>
    <cellStyle name="Normal 6 2 3 6" xfId="1275" xr:uid="{C593C4AF-1E38-4C2C-8450-44BD2E8388DE}"/>
    <cellStyle name="Normal 6 2 3 6 2" xfId="1491" xr:uid="{2360DF4D-0270-4974-8C21-C4398D31609D}"/>
    <cellStyle name="Normal 6 2 3 6 2 2" xfId="10225" xr:uid="{C5E2748B-055D-4C55-A74E-DA605C11F6A7}"/>
    <cellStyle name="Normal 6 2 3 6 3" xfId="10009" xr:uid="{609AD08D-A9C0-45FE-ACFD-E3279AB1192E}"/>
    <cellStyle name="Normal 6 2 3 7" xfId="1347" xr:uid="{9C7C8AA9-A5CD-40C2-B151-ADA469514F94}"/>
    <cellStyle name="Normal 6 2 3 7 2" xfId="10081" xr:uid="{BE35A9CF-875E-4EB7-8EBA-1D02FB273BA3}"/>
    <cellStyle name="Normal 6 2 3 8" xfId="9863" xr:uid="{7A5BFC5E-7122-49B3-95AE-4FEE6DA6FE55}"/>
    <cellStyle name="Normal 6 2 4" xfId="890" xr:uid="{2151F58A-ECB9-4147-AE2D-87EAC8BEC46B}"/>
    <cellStyle name="Normal 6 2 4 2" xfId="1203" xr:uid="{70F4DA4F-6099-4273-9345-763AD1688853}"/>
    <cellStyle name="Normal 6 2 4 2 2" xfId="1429" xr:uid="{0C0D2D51-F30C-478F-9DDF-7AF94D2B98B3}"/>
    <cellStyle name="Normal 6 2 4 2 2 2" xfId="10163" xr:uid="{02312E59-2A2A-4871-9198-2A5079215EA3}"/>
    <cellStyle name="Normal 6 2 4 2 3" xfId="9947" xr:uid="{2C2D693F-75DB-425C-9D63-BECB53671AD0}"/>
    <cellStyle name="Normal 6 2 4 3" xfId="1285" xr:uid="{B5C6159F-3AFF-44D9-AE93-1F4DCD638640}"/>
    <cellStyle name="Normal 6 2 4 3 2" xfId="1501" xr:uid="{9D319E90-3BF8-4C2E-ADDC-822AA72185A6}"/>
    <cellStyle name="Normal 6 2 4 3 2 2" xfId="10235" xr:uid="{4F209150-50C8-483F-BE91-73318E0BBE8D}"/>
    <cellStyle name="Normal 6 2 4 3 3" xfId="10019" xr:uid="{0CB3E53D-DA91-46B4-B364-32ABCA5B8483}"/>
    <cellStyle name="Normal 6 2 4 4" xfId="1357" xr:uid="{FDE2EDFC-3B8C-470A-8844-141535E5C4B8}"/>
    <cellStyle name="Normal 6 2 4 4 2" xfId="10091" xr:uid="{F620D255-B474-47E8-A6AA-A83FDEEF5AF7}"/>
    <cellStyle name="Normal 6 2 4 5" xfId="9875" xr:uid="{61154CA1-CA85-486E-A4D9-724BE262CC30}"/>
    <cellStyle name="Normal 6 2 5" xfId="932" xr:uid="{E934E2A4-1843-4D17-82A1-3CF2511CA8AE}"/>
    <cellStyle name="Normal 6 2 5 2" xfId="1216" xr:uid="{54E10973-12F1-4AA4-886D-A0382F6181DB}"/>
    <cellStyle name="Normal 6 2 5 2 2" xfId="1442" xr:uid="{7DF95885-259B-4533-BEF8-BCBB5A9DC62C}"/>
    <cellStyle name="Normal 6 2 5 2 2 2" xfId="10176" xr:uid="{EE084994-51FB-41B0-8DA3-AE2F0F013FDC}"/>
    <cellStyle name="Normal 6 2 5 2 3" xfId="9960" xr:uid="{7CE64FA1-F9C4-4D32-AB67-CCC3B6FD0720}"/>
    <cellStyle name="Normal 6 2 5 3" xfId="1298" xr:uid="{A7E0EB00-0525-4801-B5C8-C046DC5F2029}"/>
    <cellStyle name="Normal 6 2 5 3 2" xfId="1514" xr:uid="{28727300-72EF-4C41-B69A-D6D1EC8383B7}"/>
    <cellStyle name="Normal 6 2 5 3 2 2" xfId="10248" xr:uid="{B7F3C772-787B-4DE8-99DC-79546D30BE20}"/>
    <cellStyle name="Normal 6 2 5 3 3" xfId="10032" xr:uid="{91ECA976-BA2D-4135-9FCA-D6A990EEBE90}"/>
    <cellStyle name="Normal 6 2 5 4" xfId="1370" xr:uid="{24FECEAD-D739-435B-A005-01380A8AB786}"/>
    <cellStyle name="Normal 6 2 5 4 2" xfId="10104" xr:uid="{AC7DD523-E240-4F1E-A7E8-3BC9357B93C7}"/>
    <cellStyle name="Normal 6 2 5 5" xfId="9888" xr:uid="{32EFA4D4-71A1-422B-887A-FFEBBCCCF4C4}"/>
    <cellStyle name="Normal 6 2 6" xfId="1150" xr:uid="{945F8EE4-42BD-47A6-A275-A0DD77D27D7D}"/>
    <cellStyle name="Normal 6 2 6 2" xfId="1253" xr:uid="{E0F428E0-9823-41EC-9077-EB6E83AF15B3}"/>
    <cellStyle name="Normal 6 2 6 2 2" xfId="1469" xr:uid="{85108C9C-0CC2-42F0-B346-D6B6A4A883AC}"/>
    <cellStyle name="Normal 6 2 6 2 2 2" xfId="10203" xr:uid="{4DB0BDA7-B98C-477F-A0F0-C0F3DF14DF01}"/>
    <cellStyle name="Normal 6 2 6 2 3" xfId="9987" xr:uid="{C75D7959-7818-47FD-A10E-262446A74B05}"/>
    <cellStyle name="Normal 6 2 6 3" xfId="1325" xr:uid="{17DC23AB-BDC0-4DEB-8F45-75C6A1FDA255}"/>
    <cellStyle name="Normal 6 2 6 3 2" xfId="1541" xr:uid="{D2B98D68-128D-4343-A932-09D99E1BB74A}"/>
    <cellStyle name="Normal 6 2 6 3 2 2" xfId="10275" xr:uid="{D6FC9ACD-B24A-4599-A8D6-774AC7FDED3F}"/>
    <cellStyle name="Normal 6 2 6 3 3" xfId="10059" xr:uid="{A99A35FF-1652-4663-AB50-1A2248D2D51E}"/>
    <cellStyle name="Normal 6 2 6 4" xfId="1397" xr:uid="{2E30D146-63D0-4AFD-8DD9-75A48C0973D8}"/>
    <cellStyle name="Normal 6 2 6 4 2" xfId="10131" xr:uid="{94A2E4FA-966E-4544-A205-A7473347DFFB}"/>
    <cellStyle name="Normal 6 2 6 5" xfId="9915" xr:uid="{6F82CE88-D089-4EE8-A446-D3B99B05A60B}"/>
    <cellStyle name="Normal 6 2 7" xfId="1189" xr:uid="{D7317FF6-5417-4B67-AF0F-8DD03C8D85B8}"/>
    <cellStyle name="Normal 6 2 7 2" xfId="1416" xr:uid="{46CFD2AF-108B-41C8-8818-6FEB8297C46D}"/>
    <cellStyle name="Normal 6 2 7 2 2" xfId="10150" xr:uid="{F5D4262F-51AB-44E9-A3DF-B3C40EBD228F}"/>
    <cellStyle name="Normal 6 2 7 3" xfId="9934" xr:uid="{FA3F5028-6C40-4CA7-B01F-808ED4F49D39}"/>
    <cellStyle name="Normal 6 2 8" xfId="1272" xr:uid="{978DDD05-8F82-498A-903F-03B6D10A2F25}"/>
    <cellStyle name="Normal 6 2 8 2" xfId="1488" xr:uid="{D7203692-45C5-4967-9D98-6C9B99817F70}"/>
    <cellStyle name="Normal 6 2 8 2 2" xfId="10222" xr:uid="{A1AAF397-BDAB-474A-8059-CC75F4F7D23D}"/>
    <cellStyle name="Normal 6 2 8 3" xfId="10006" xr:uid="{9C1969DC-D687-4D39-8B74-A2985061ADAF}"/>
    <cellStyle name="Normal 6 2 9" xfId="1344" xr:uid="{F530B77E-A112-4A1D-A2AB-14A490029211}"/>
    <cellStyle name="Normal 6 2 9 2" xfId="10078" xr:uid="{0D130BCA-2B5A-4CA0-B50F-E4DF56BA95FC}"/>
    <cellStyle name="Normal 6 3" xfId="552" xr:uid="{E17994D9-E491-454E-9A05-17A62DABDF30}"/>
    <cellStyle name="Normal 6 3 10" xfId="740" xr:uid="{4A7F87FF-A8ED-4A56-9C14-DE30D67B483B}"/>
    <cellStyle name="Normal 6 3 2" xfId="741" xr:uid="{719FB553-71AF-4C77-AEB0-29B8B4343F30}"/>
    <cellStyle name="Normal 6 3 2 2" xfId="895" xr:uid="{E07DBE65-5A20-4357-8F46-C7ED87FDBC07}"/>
    <cellStyle name="Normal 6 3 2 2 2" xfId="1208" xr:uid="{2CE6CDB4-6ACE-49B5-8F4B-742973F5E3F3}"/>
    <cellStyle name="Normal 6 3 2 2 2 2" xfId="1434" xr:uid="{B49A0A13-431C-4C97-A60A-18B02A6EF04A}"/>
    <cellStyle name="Normal 6 3 2 2 2 2 2" xfId="10168" xr:uid="{FFEF59B8-A45C-4323-A807-E19C478275A7}"/>
    <cellStyle name="Normal 6 3 2 2 2 3" xfId="9952" xr:uid="{1A926101-E31F-4B48-AA61-7E3429EAFBD8}"/>
    <cellStyle name="Normal 6 3 2 2 3" xfId="1290" xr:uid="{C10D1BDF-4213-4BA5-9988-6102A239935E}"/>
    <cellStyle name="Normal 6 3 2 2 3 2" xfId="1506" xr:uid="{BC310090-4037-47E5-85AD-8EDE93E7FAC4}"/>
    <cellStyle name="Normal 6 3 2 2 3 2 2" xfId="10240" xr:uid="{A27E466A-1A69-4167-BBC7-4A333303A971}"/>
    <cellStyle name="Normal 6 3 2 2 3 3" xfId="10024" xr:uid="{F221C8F9-E011-42DF-8D36-117B1DB12448}"/>
    <cellStyle name="Normal 6 3 2 2 4" xfId="1362" xr:uid="{43CF65C3-1CB0-43D0-B6E9-5EE36FE07BE9}"/>
    <cellStyle name="Normal 6 3 2 2 4 2" xfId="10096" xr:uid="{3A248336-4E54-48B7-BDF4-EFDF4440639C}"/>
    <cellStyle name="Normal 6 3 2 2 5" xfId="9880" xr:uid="{C74934B6-5623-4114-8C93-E8AD15A63ABE}"/>
    <cellStyle name="Normal 6 3 2 3" xfId="937" xr:uid="{EA316FC5-77EC-469F-BBED-A49BEDDBAA67}"/>
    <cellStyle name="Normal 6 3 2 3 2" xfId="1221" xr:uid="{19487C2B-99FD-4284-98C6-E26A884A5002}"/>
    <cellStyle name="Normal 6 3 2 3 2 2" xfId="1447" xr:uid="{3D333C53-4465-4EAF-AD0C-78DF32785186}"/>
    <cellStyle name="Normal 6 3 2 3 2 2 2" xfId="10181" xr:uid="{80CAE1C9-D00E-4563-800E-DEC9BA02EF59}"/>
    <cellStyle name="Normal 6 3 2 3 2 3" xfId="9965" xr:uid="{68799C2B-C307-455D-9E0C-21F3A70A0772}"/>
    <cellStyle name="Normal 6 3 2 3 3" xfId="1303" xr:uid="{52DE0FA9-44D5-40F5-9B0B-0B7127C8276E}"/>
    <cellStyle name="Normal 6 3 2 3 3 2" xfId="1519" xr:uid="{0AB8AF97-8253-4779-B698-E1F53AC08AB6}"/>
    <cellStyle name="Normal 6 3 2 3 3 2 2" xfId="10253" xr:uid="{61B74E42-B80D-4CB6-B7ED-3B8A742A7867}"/>
    <cellStyle name="Normal 6 3 2 3 3 3" xfId="10037" xr:uid="{46B7FD01-A87C-4C6A-8C4F-F019EE110B4A}"/>
    <cellStyle name="Normal 6 3 2 3 4" xfId="1375" xr:uid="{091BF63A-DFB2-4833-881A-002BD7542243}"/>
    <cellStyle name="Normal 6 3 2 3 4 2" xfId="10109" xr:uid="{088EE35B-F806-4F92-9E6D-A11A957FE01C}"/>
    <cellStyle name="Normal 6 3 2 3 5" xfId="9893" xr:uid="{8C94E9E1-A85E-42B5-AAB4-2104AC20B5C4}"/>
    <cellStyle name="Normal 6 3 2 4" xfId="1155" xr:uid="{9FE10AFC-3BE1-4FE7-AF34-D0FD408BB39A}"/>
    <cellStyle name="Normal 6 3 2 4 2" xfId="1258" xr:uid="{629BEECF-3E23-4282-BC34-DEF028FAF71C}"/>
    <cellStyle name="Normal 6 3 2 4 2 2" xfId="1474" xr:uid="{9BA0C050-2A39-403B-AE79-F09554FA8C2B}"/>
    <cellStyle name="Normal 6 3 2 4 2 2 2" xfId="10208" xr:uid="{BC26C959-BA84-4A81-A94C-74D1970CE728}"/>
    <cellStyle name="Normal 6 3 2 4 2 3" xfId="9992" xr:uid="{44160C24-CB8C-4A91-ABBB-DB663A5BE4A2}"/>
    <cellStyle name="Normal 6 3 2 4 3" xfId="1330" xr:uid="{18769271-D362-4F74-8F34-8C9B72504091}"/>
    <cellStyle name="Normal 6 3 2 4 3 2" xfId="1546" xr:uid="{6B6329BA-2D92-4D6A-AA59-CEB47B984C9F}"/>
    <cellStyle name="Normal 6 3 2 4 3 2 2" xfId="10280" xr:uid="{B3F2C66C-131E-41E0-8BAD-83C7C6D36560}"/>
    <cellStyle name="Normal 6 3 2 4 3 3" xfId="10064" xr:uid="{F9278A3F-E430-45EA-ACA2-B30E4B20D75C}"/>
    <cellStyle name="Normal 6 3 2 4 4" xfId="1402" xr:uid="{6D8D7E44-2B2D-4E6B-A1B2-5E9B939DF2A7}"/>
    <cellStyle name="Normal 6 3 2 4 4 2" xfId="10136" xr:uid="{A6990B08-480B-4CAA-AC5C-07449319FE3A}"/>
    <cellStyle name="Normal 6 3 2 4 5" xfId="9920" xr:uid="{C1C14D89-C9EB-4ABE-A87E-3079F9E2CB7A}"/>
    <cellStyle name="Normal 6 3 2 5" xfId="1194" xr:uid="{43C84DBE-45B4-45CC-BA06-CC4857BF03C7}"/>
    <cellStyle name="Normal 6 3 2 5 2" xfId="1421" xr:uid="{712E546C-6FE1-404B-AE4A-1FE0B7EF97DD}"/>
    <cellStyle name="Normal 6 3 2 5 2 2" xfId="10155" xr:uid="{3A6B44E0-A3DC-49DA-AA29-01FD589168A5}"/>
    <cellStyle name="Normal 6 3 2 5 3" xfId="9939" xr:uid="{E213A06C-51DD-49DB-9692-248E65DC1DEF}"/>
    <cellStyle name="Normal 6 3 2 6" xfId="1277" xr:uid="{09D0D210-4613-4915-BF3E-7A0A84A119F8}"/>
    <cellStyle name="Normal 6 3 2 6 2" xfId="1493" xr:uid="{8E357550-1407-4F1F-B8B0-C04AC09ED638}"/>
    <cellStyle name="Normal 6 3 2 6 2 2" xfId="10227" xr:uid="{23401D4C-AF06-4538-9DEF-F304475959EF}"/>
    <cellStyle name="Normal 6 3 2 6 3" xfId="10011" xr:uid="{3A7C0ED1-29D5-45CD-9EE3-331E63DEBE04}"/>
    <cellStyle name="Normal 6 3 2 7" xfId="1349" xr:uid="{E0CC83FA-1359-4D2D-8A69-A763F1632DDE}"/>
    <cellStyle name="Normal 6 3 2 7 2" xfId="10083" xr:uid="{28C0AC62-B8A1-49D8-98CE-DD6750CD92F7}"/>
    <cellStyle name="Normal 6 3 2 8" xfId="9865" xr:uid="{BD671C22-E824-4BBA-BD18-ABE6D7A819E4}"/>
    <cellStyle name="Normal 6 3 3" xfId="894" xr:uid="{19B93885-AE03-425D-89B1-00A39D39BAA3}"/>
    <cellStyle name="Normal 6 3 3 2" xfId="1207" xr:uid="{0D7D200A-F816-4FB1-B815-271CBCEA75C8}"/>
    <cellStyle name="Normal 6 3 3 2 2" xfId="1433" xr:uid="{0AE8C23E-197E-499F-AECB-E39324BE4F9B}"/>
    <cellStyle name="Normal 6 3 3 2 2 2" xfId="10167" xr:uid="{CB8BC2B9-E2D4-40D1-B562-3570A6970048}"/>
    <cellStyle name="Normal 6 3 3 2 3" xfId="9951" xr:uid="{5A9D1D03-34DC-4F92-BA9B-2754D2150BB3}"/>
    <cellStyle name="Normal 6 3 3 3" xfId="1289" xr:uid="{5C30F715-EF01-4D84-BAA7-BC97A737A9B4}"/>
    <cellStyle name="Normal 6 3 3 3 2" xfId="1505" xr:uid="{32A3633E-7D12-4E0E-9941-BFE4BCD0B574}"/>
    <cellStyle name="Normal 6 3 3 3 2 2" xfId="10239" xr:uid="{81407638-A4AB-4AF6-91FF-042A24F46817}"/>
    <cellStyle name="Normal 6 3 3 3 3" xfId="10023" xr:uid="{247EB36A-D8A4-446F-BE28-C19FAB1A79D3}"/>
    <cellStyle name="Normal 6 3 3 4" xfId="1361" xr:uid="{EAC5B592-2744-4456-9C4F-6B256BE0F89C}"/>
    <cellStyle name="Normal 6 3 3 4 2" xfId="10095" xr:uid="{D53A68B2-BEA3-4DC4-8695-BF2729E477FE}"/>
    <cellStyle name="Normal 6 3 3 5" xfId="9879" xr:uid="{52ABF9AF-08CB-4D51-A36A-8ABAFA339052}"/>
    <cellStyle name="Normal 6 3 4" xfId="936" xr:uid="{716EBC7C-51C5-43E2-9075-A82EF253DC00}"/>
    <cellStyle name="Normal 6 3 4 2" xfId="1220" xr:uid="{9D9184B6-E25D-4E0D-82A7-09320D12E80C}"/>
    <cellStyle name="Normal 6 3 4 2 2" xfId="1446" xr:uid="{62E1575A-728D-42C3-A309-CF231CBF9799}"/>
    <cellStyle name="Normal 6 3 4 2 2 2" xfId="10180" xr:uid="{C4BAF3BF-B25D-4B82-AEA9-3FD1CD1EF496}"/>
    <cellStyle name="Normal 6 3 4 2 3" xfId="9964" xr:uid="{F17B3BA4-FCD9-4A5A-B674-81615AE6A04B}"/>
    <cellStyle name="Normal 6 3 4 3" xfId="1302" xr:uid="{F4B7AC55-361A-449B-9137-5566128A3FF8}"/>
    <cellStyle name="Normal 6 3 4 3 2" xfId="1518" xr:uid="{BB7D97F0-F07B-4DCC-851C-1FF912E0F108}"/>
    <cellStyle name="Normal 6 3 4 3 2 2" xfId="10252" xr:uid="{D6787BDB-B950-4F43-A4D6-6E3DCAC8104B}"/>
    <cellStyle name="Normal 6 3 4 3 3" xfId="10036" xr:uid="{1BAFAEB9-5F99-4FF6-BECF-1650FC454C96}"/>
    <cellStyle name="Normal 6 3 4 4" xfId="1374" xr:uid="{D6314690-3E5A-4864-B2A7-A68CA162E643}"/>
    <cellStyle name="Normal 6 3 4 4 2" xfId="10108" xr:uid="{0C545F5B-162B-4E65-946B-865158D4DC41}"/>
    <cellStyle name="Normal 6 3 4 5" xfId="9892" xr:uid="{B8FC560D-DE97-4956-8A0C-EB4A1FD9AFDD}"/>
    <cellStyle name="Normal 6 3 5" xfId="1154" xr:uid="{B8EB52BA-F88C-4B11-A3EA-FD34217C5341}"/>
    <cellStyle name="Normal 6 3 5 2" xfId="1257" xr:uid="{B91341EB-3764-4495-B4E4-EEAF248AEC2F}"/>
    <cellStyle name="Normal 6 3 5 2 2" xfId="1473" xr:uid="{A884FAA1-1D52-443C-B7DF-B11D7C65702C}"/>
    <cellStyle name="Normal 6 3 5 2 2 2" xfId="10207" xr:uid="{C351682E-88EF-46A7-A2FD-CA31508E204C}"/>
    <cellStyle name="Normal 6 3 5 2 3" xfId="9991" xr:uid="{82AF224D-4BF9-4EA0-948E-E0ECA37626B7}"/>
    <cellStyle name="Normal 6 3 5 3" xfId="1329" xr:uid="{69C09587-A0E3-4760-AC60-9C29A6B6BF40}"/>
    <cellStyle name="Normal 6 3 5 3 2" xfId="1545" xr:uid="{17405808-E5F6-4777-BD6C-C4A608A9FDD5}"/>
    <cellStyle name="Normal 6 3 5 3 2 2" xfId="10279" xr:uid="{8FE12FC3-0628-4C8B-ADF2-9EEA78DD79EF}"/>
    <cellStyle name="Normal 6 3 5 3 3" xfId="10063" xr:uid="{E10DC367-1BCA-4DB8-BAD5-142C31CE8742}"/>
    <cellStyle name="Normal 6 3 5 4" xfId="1401" xr:uid="{32BA571C-1C59-4D8F-A2B8-B36389091658}"/>
    <cellStyle name="Normal 6 3 5 4 2" xfId="10135" xr:uid="{C74ABFB6-86D7-46DB-80BA-0C32FDB04B26}"/>
    <cellStyle name="Normal 6 3 5 5" xfId="9919" xr:uid="{5D694159-EEE7-41DB-BF2C-38B8122912BF}"/>
    <cellStyle name="Normal 6 3 6" xfId="1193" xr:uid="{94DCC6ED-A82E-46E6-8CF2-054EFCDF8FC3}"/>
    <cellStyle name="Normal 6 3 6 2" xfId="1420" xr:uid="{9AD47250-609A-44B5-B4B6-52E95E42C319}"/>
    <cellStyle name="Normal 6 3 6 2 2" xfId="10154" xr:uid="{4DACF1B3-B782-4C31-9892-EEDCDA921B8B}"/>
    <cellStyle name="Normal 6 3 6 3" xfId="9938" xr:uid="{44319A63-3FA7-472F-B863-00B332D32525}"/>
    <cellStyle name="Normal 6 3 7" xfId="1276" xr:uid="{F71B3052-632A-4986-A7FA-45FD63D2578A}"/>
    <cellStyle name="Normal 6 3 7 2" xfId="1492" xr:uid="{236DD9A1-FC4B-46D7-AF7E-01F33B2E27A4}"/>
    <cellStyle name="Normal 6 3 7 2 2" xfId="10226" xr:uid="{5D39EA5A-67BB-45C5-A5F5-C2E298F989F6}"/>
    <cellStyle name="Normal 6 3 7 3" xfId="10010" xr:uid="{3F80504E-52A6-48BB-BABC-91ABB2BCB585}"/>
    <cellStyle name="Normal 6 3 8" xfId="1348" xr:uid="{8DD6917D-C21F-46B5-853C-60B8DBBEFC06}"/>
    <cellStyle name="Normal 6 3 8 2" xfId="10082" xr:uid="{9CC44438-4F22-4882-8561-EF4856079A57}"/>
    <cellStyle name="Normal 6 3 9" xfId="9864" xr:uid="{8381A0F3-1993-474B-8A5E-BF201A0BDA57}"/>
    <cellStyle name="Normal 6 4" xfId="742" xr:uid="{6A05B24A-89F7-4FBF-8B71-13FF49B36525}"/>
    <cellStyle name="Normal 6 4 2" xfId="896" xr:uid="{F98A4B7D-D0ED-47A2-8D37-AC67C6346086}"/>
    <cellStyle name="Normal 6 4 2 2" xfId="1209" xr:uid="{8BED15F6-04F3-4755-A35E-F24D14EFB8A5}"/>
    <cellStyle name="Normal 6 4 2 2 2" xfId="1435" xr:uid="{85A11CFB-53E7-49E7-B506-B4617101F49E}"/>
    <cellStyle name="Normal 6 4 2 2 2 2" xfId="10169" xr:uid="{9AB8AC7D-D8F1-418F-B9A8-25E93D3CC1BB}"/>
    <cellStyle name="Normal 6 4 2 2 3" xfId="9953" xr:uid="{AEB2744D-A4D6-4B0D-8644-EB54C085240D}"/>
    <cellStyle name="Normal 6 4 2 3" xfId="1291" xr:uid="{2A6344D4-7496-4E69-AD1F-5542616F1535}"/>
    <cellStyle name="Normal 6 4 2 3 2" xfId="1507" xr:uid="{B4643747-A332-4D0F-9848-149B87D5D683}"/>
    <cellStyle name="Normal 6 4 2 3 2 2" xfId="10241" xr:uid="{C62D0BE9-7260-40CA-A27E-1657CFBF20E3}"/>
    <cellStyle name="Normal 6 4 2 3 3" xfId="10025" xr:uid="{4E11196B-9A32-4E0A-BB9B-F2423710B6C3}"/>
    <cellStyle name="Normal 6 4 2 4" xfId="1363" xr:uid="{2019B3FD-6801-4B7B-8A72-88C7B6F4CAAA}"/>
    <cellStyle name="Normal 6 4 2 4 2" xfId="10097" xr:uid="{09F579F0-A729-4F93-A5A4-6374271181C8}"/>
    <cellStyle name="Normal 6 4 2 5" xfId="9881" xr:uid="{F59AFBFF-7241-43DD-8AA8-7C99C926AA58}"/>
    <cellStyle name="Normal 6 4 3" xfId="938" xr:uid="{37E87873-D782-4F67-BE66-6C5F920C638D}"/>
    <cellStyle name="Normal 6 4 3 2" xfId="1222" xr:uid="{037E2562-374F-458E-B90C-2057B97CEE4B}"/>
    <cellStyle name="Normal 6 4 3 2 2" xfId="1448" xr:uid="{9D68D74E-D149-4A71-8280-152ABC2A1C31}"/>
    <cellStyle name="Normal 6 4 3 2 2 2" xfId="10182" xr:uid="{33C3D8EB-CCAF-4DCE-8381-93BF46198F14}"/>
    <cellStyle name="Normal 6 4 3 2 3" xfId="9966" xr:uid="{AF8DD577-260F-4A69-9C4B-66A180928B02}"/>
    <cellStyle name="Normal 6 4 3 3" xfId="1304" xr:uid="{93228F2D-A51F-4520-91B3-6BE203CEB2FC}"/>
    <cellStyle name="Normal 6 4 3 3 2" xfId="1520" xr:uid="{9F5A2C08-C5FC-4F1E-A79C-CEF7E6C6460A}"/>
    <cellStyle name="Normal 6 4 3 3 2 2" xfId="10254" xr:uid="{0015898A-54B4-4AC0-9E3F-9E9F349E9065}"/>
    <cellStyle name="Normal 6 4 3 3 3" xfId="10038" xr:uid="{EE5B117D-B69C-486C-879C-87CB677EB24A}"/>
    <cellStyle name="Normal 6 4 3 4" xfId="1376" xr:uid="{01B14B3A-39E7-4ED0-9799-CB36C0B88940}"/>
    <cellStyle name="Normal 6 4 3 4 2" xfId="10110" xr:uid="{EC5B61C0-7385-42EB-A5D3-D754D228CA8E}"/>
    <cellStyle name="Normal 6 4 3 5" xfId="9894" xr:uid="{2EA300DD-4CBF-4472-88F3-5734778D9009}"/>
    <cellStyle name="Normal 6 4 4" xfId="1156" xr:uid="{9D22F1FC-2550-40FA-A74B-7FCB3A167BC6}"/>
    <cellStyle name="Normal 6 4 4 2" xfId="1259" xr:uid="{ABA261F4-18CB-4B7B-9A08-EE42376D947B}"/>
    <cellStyle name="Normal 6 4 4 2 2" xfId="1475" xr:uid="{263E74F2-6872-4555-9D96-6A211002E757}"/>
    <cellStyle name="Normal 6 4 4 2 2 2" xfId="10209" xr:uid="{5D59D1A4-25BB-40FD-88C1-C7C45867C493}"/>
    <cellStyle name="Normal 6 4 4 2 3" xfId="9993" xr:uid="{019097BB-2F75-4F9C-87C7-4A6D73DF9510}"/>
    <cellStyle name="Normal 6 4 4 3" xfId="1331" xr:uid="{2E16D28E-8371-41DA-AB8E-DA303C47AA07}"/>
    <cellStyle name="Normal 6 4 4 3 2" xfId="1547" xr:uid="{A941141A-5B72-46B1-B0FB-BCFD5FE168AB}"/>
    <cellStyle name="Normal 6 4 4 3 2 2" xfId="10281" xr:uid="{AFD0FA9B-5111-403F-B26C-FF91789408DB}"/>
    <cellStyle name="Normal 6 4 4 3 3" xfId="10065" xr:uid="{00099889-C0A8-415D-AD68-288E49EB51E6}"/>
    <cellStyle name="Normal 6 4 4 4" xfId="1403" xr:uid="{74CCE76F-2D71-49C9-90BF-7E4FF4D9C82A}"/>
    <cellStyle name="Normal 6 4 4 4 2" xfId="10137" xr:uid="{9AB7C215-48BC-4478-BFA7-DF731CBC5367}"/>
    <cellStyle name="Normal 6 4 4 5" xfId="9921" xr:uid="{E37CA161-01D3-4E5F-BF14-2B5EAB548640}"/>
    <cellStyle name="Normal 6 4 5" xfId="1195" xr:uid="{1F1CDBE6-6168-414C-B4FE-176D64FC78F9}"/>
    <cellStyle name="Normal 6 4 5 2" xfId="1422" xr:uid="{C4A10D22-C781-4E11-BC11-6714C6ACC221}"/>
    <cellStyle name="Normal 6 4 5 2 2" xfId="10156" xr:uid="{F1B84E89-8039-4F96-A53B-ADBE5BC27F0B}"/>
    <cellStyle name="Normal 6 4 5 3" xfId="9940" xr:uid="{5DA0DC83-E561-4623-9F17-8F13038FAC93}"/>
    <cellStyle name="Normal 6 4 6" xfId="1278" xr:uid="{1BE92EB1-D1B5-4A3F-9B55-CC0E57CF308D}"/>
    <cellStyle name="Normal 6 4 6 2" xfId="1494" xr:uid="{7D781B18-1C3D-43F9-A23F-8AEBEB6C1041}"/>
    <cellStyle name="Normal 6 4 6 2 2" xfId="10228" xr:uid="{B76C3E28-D7CC-453A-9918-662D8C510827}"/>
    <cellStyle name="Normal 6 4 6 3" xfId="10012" xr:uid="{3D6EEEB5-35F8-4E2C-80CD-DD3EE0433FEC}"/>
    <cellStyle name="Normal 6 4 7" xfId="1350" xr:uid="{57696AD2-D871-4A59-8853-8AF74DC97980}"/>
    <cellStyle name="Normal 6 4 7 2" xfId="10084" xr:uid="{D96D60E1-EC6D-41EE-B4CD-C60028B22D1D}"/>
    <cellStyle name="Normal 6 4 8" xfId="9866" xr:uid="{4228B8B4-F263-4F16-922F-733A259DF387}"/>
    <cellStyle name="Normal 6 5" xfId="889" xr:uid="{08091287-63AA-4946-8B64-3E7D423CF901}"/>
    <cellStyle name="Normal 6 5 2" xfId="1202" xr:uid="{FBB72681-B144-4DE4-9545-A14191B98C1B}"/>
    <cellStyle name="Normal 6 5 2 2" xfId="1428" xr:uid="{24928B41-1303-4DC4-8F05-EC0C45224A60}"/>
    <cellStyle name="Normal 6 5 2 2 2" xfId="10162" xr:uid="{EEDDC7A6-0A50-462A-B9C2-496ADA24003C}"/>
    <cellStyle name="Normal 6 5 2 3" xfId="9946" xr:uid="{668CC7EB-AAC1-4F1E-82A4-DEA3E0483555}"/>
    <cellStyle name="Normal 6 5 3" xfId="1284" xr:uid="{E78AEA43-6EAE-4A78-8495-E1078213F57C}"/>
    <cellStyle name="Normal 6 5 3 2" xfId="1500" xr:uid="{B704AA7E-1537-45CB-8ACF-DBC1718C1137}"/>
    <cellStyle name="Normal 6 5 3 2 2" xfId="10234" xr:uid="{7AC5BBB4-99DB-4397-B07A-FE582933E28A}"/>
    <cellStyle name="Normal 6 5 3 3" xfId="10018" xr:uid="{17FD97CA-198A-4DE9-9A7A-B31750F0D414}"/>
    <cellStyle name="Normal 6 5 4" xfId="1356" xr:uid="{5019F568-B35D-4633-955A-FEFCEE157A9B}"/>
    <cellStyle name="Normal 6 5 4 2" xfId="10090" xr:uid="{67A22A93-2474-4B81-8F3D-463AEF5AA244}"/>
    <cellStyle name="Normal 6 5 5" xfId="9874" xr:uid="{1A20DFFF-FF68-41DC-936A-7F20C0955FF3}"/>
    <cellStyle name="Normal 6 6" xfId="931" xr:uid="{88AF1E82-D290-4CFF-826C-627613BAFDAE}"/>
    <cellStyle name="Normal 6 6 2" xfId="1215" xr:uid="{20F5D5E0-2EE5-464C-8156-2869FC4909B2}"/>
    <cellStyle name="Normal 6 6 2 2" xfId="1441" xr:uid="{75DBA61E-B333-4CFD-91C8-47C8F1314C74}"/>
    <cellStyle name="Normal 6 6 2 2 2" xfId="10175" xr:uid="{9FCF750E-8372-49C7-9A9D-72E29CBC9AC4}"/>
    <cellStyle name="Normal 6 6 2 3" xfId="9959" xr:uid="{08773E7E-949A-419A-8704-C9E649140C42}"/>
    <cellStyle name="Normal 6 6 3" xfId="1297" xr:uid="{C0812027-FAB0-494F-AD67-F27E89604CEC}"/>
    <cellStyle name="Normal 6 6 3 2" xfId="1513" xr:uid="{26CB8E45-374F-415B-ABD6-E332E098BE18}"/>
    <cellStyle name="Normal 6 6 3 2 2" xfId="10247" xr:uid="{0C7E4F57-B5EC-4B2B-9546-399FD2513F4F}"/>
    <cellStyle name="Normal 6 6 3 3" xfId="10031" xr:uid="{6E860E87-DC7D-4BA4-B603-A651668B5E46}"/>
    <cellStyle name="Normal 6 6 4" xfId="1369" xr:uid="{32FA61AD-0E25-496C-844D-64365FBC3B34}"/>
    <cellStyle name="Normal 6 6 4 2" xfId="10103" xr:uid="{F61D6933-9855-45AE-89C4-B991DAE934FE}"/>
    <cellStyle name="Normal 6 6 5" xfId="9887" xr:uid="{F1B59188-9B09-41CE-BC7F-AB27CF9E801A}"/>
    <cellStyle name="Normal 6 7" xfId="1125" xr:uid="{583E94F3-6FD2-4422-8726-76A4FA64E1EE}"/>
    <cellStyle name="Normal 6 8" xfId="1149" xr:uid="{AADA1DD1-5B4F-4A2F-B15F-29B30DEC6AA7}"/>
    <cellStyle name="Normal 6 8 2" xfId="1252" xr:uid="{3D9DA4A2-D2D3-4923-AE2E-5EFC28E8A9A8}"/>
    <cellStyle name="Normal 6 8 2 2" xfId="1468" xr:uid="{96FC3DB1-05DF-45B3-BB46-55DABDB9184E}"/>
    <cellStyle name="Normal 6 8 2 2 2" xfId="10202" xr:uid="{34D6A990-FEC4-41D3-98AC-EA3C8258259F}"/>
    <cellStyle name="Normal 6 8 2 3" xfId="9986" xr:uid="{2E4A5B7A-7FA9-4994-A720-5ECE5A81FE40}"/>
    <cellStyle name="Normal 6 8 3" xfId="1324" xr:uid="{A0911433-0B9F-4AC4-8329-B8761F8EC6E3}"/>
    <cellStyle name="Normal 6 8 3 2" xfId="1540" xr:uid="{0B64C490-DD6E-428E-8BEF-043ACECF7D3E}"/>
    <cellStyle name="Normal 6 8 3 2 2" xfId="10274" xr:uid="{50F19C0C-23E1-4C45-B9E9-073144D8FA10}"/>
    <cellStyle name="Normal 6 8 3 3" xfId="10058" xr:uid="{185F4B4F-54B2-4864-BDE0-6F21B818E087}"/>
    <cellStyle name="Normal 6 8 4" xfId="1396" xr:uid="{492DA171-46DE-4660-8E6D-B686CE62ED07}"/>
    <cellStyle name="Normal 6 8 4 2" xfId="10130" xr:uid="{170E57AA-C3B9-46B2-8E19-A5D29A8DEC53}"/>
    <cellStyle name="Normal 6 8 5" xfId="9914" xr:uid="{360F64B4-988A-4347-A4F5-59859D1965C6}"/>
    <cellStyle name="Normal 6 9" xfId="1188" xr:uid="{A2097ACE-91EB-4A87-AE36-A3F5F96DD650}"/>
    <cellStyle name="Normal 6 9 2" xfId="1415" xr:uid="{2BECA918-A23C-407B-99F9-87F80A82304A}"/>
    <cellStyle name="Normal 6 9 2 2" xfId="10149" xr:uid="{8AF885EF-F515-4CD2-9FFC-A486E27F4FD3}"/>
    <cellStyle name="Normal 6 9 3" xfId="9933" xr:uid="{8A925CC0-C932-4DD6-BD73-3F896E4C1132}"/>
    <cellStyle name="Normal 68" xfId="39" xr:uid="{00000000-0005-0000-0000-0000B4010000}"/>
    <cellStyle name="Normal 7" xfId="345" xr:uid="{00000000-0005-0000-0000-0000B5010000}"/>
    <cellStyle name="Normal 7 2" xfId="540" xr:uid="{81A40ED2-B07B-4E40-AC73-33790A706DD0}"/>
    <cellStyle name="Normal 7 2 2" xfId="9605" xr:uid="{F4AD9022-2B57-4B50-B4E0-1CBF7F445485}"/>
    <cellStyle name="Normal 7 2 2 2" xfId="9606" xr:uid="{1CE5191F-5692-4BA6-B9F8-83FE4B52B29C}"/>
    <cellStyle name="Normal 7 2 2 2 2" xfId="9607" xr:uid="{79EDD2A3-AEE8-4EB6-B426-59163A17E35C}"/>
    <cellStyle name="Normal 7 2 2 2 3" xfId="9608" xr:uid="{85772437-92CC-43ED-BB86-073845E87C08}"/>
    <cellStyle name="Normal 7 2 2 3" xfId="9609" xr:uid="{E43538AC-9469-4B15-BFF5-A4C033F2003E}"/>
    <cellStyle name="Normal 7 2 2 4" xfId="9610" xr:uid="{0B12CB73-4B54-4656-8F52-629BD86593A6}"/>
    <cellStyle name="Normal 7 2 2 5" xfId="9611" xr:uid="{375FB347-4007-4E50-A4BD-69DB9A5816F4}"/>
    <cellStyle name="Normal 7 2 3" xfId="965" xr:uid="{C1FE8E38-B5DE-4E6B-BAE9-A84A3805DF11}"/>
    <cellStyle name="Normal 7 3" xfId="9612" xr:uid="{3531422A-107B-4585-A65A-CF45614869F0}"/>
    <cellStyle name="Normal 7 3 2" xfId="9613" xr:uid="{983EC928-EA70-4C7D-BF71-ADCF4A873DCE}"/>
    <cellStyle name="Normal 7 3 2 2" xfId="9614" xr:uid="{2CF06B43-613D-4271-99A0-E482A459BC9C}"/>
    <cellStyle name="Normal 7 3 2 3" xfId="9615" xr:uid="{E6B755D3-783E-45E9-8579-87C159C3D2F4}"/>
    <cellStyle name="Normal 7 3 3" xfId="9616" xr:uid="{0236F6F7-8130-468F-97AD-DC3824C16B4F}"/>
    <cellStyle name="Normal 7 3 4" xfId="9617" xr:uid="{17A4C2AE-267D-489A-90CD-7BF8F1001448}"/>
    <cellStyle name="Normal 7 3 5" xfId="9618" xr:uid="{39DDDB63-6314-4EF9-B706-3EF4E1A19875}"/>
    <cellStyle name="Normal 7 4" xfId="9619" xr:uid="{14C99448-4F41-4B76-B303-4E79A2D5A32E}"/>
    <cellStyle name="Normal 7 5" xfId="743" xr:uid="{4D230448-AA1B-4BB9-81F8-BB6C7C7B36ED}"/>
    <cellStyle name="Normal 76" xfId="521" xr:uid="{00000000-0005-0000-0000-0000B6010000}"/>
    <cellStyle name="Normal 8" xfId="346" xr:uid="{00000000-0005-0000-0000-0000B7010000}"/>
    <cellStyle name="Normal 8 10" xfId="964" xr:uid="{5C8DBA0E-1424-495E-95E4-1CF4DCE99666}"/>
    <cellStyle name="Normal 8 10 2" xfId="963" xr:uid="{55F143DA-5E72-4F71-8522-99E300CCE4B7}"/>
    <cellStyle name="Normal 8 11" xfId="962" xr:uid="{2FC0C687-3C8F-4904-A8BA-8DFD8EC33052}"/>
    <cellStyle name="Normal 8 12" xfId="961" xr:uid="{186BAAF3-1246-4697-88FE-FF311A52FFBF}"/>
    <cellStyle name="Normal 8 13" xfId="1157" xr:uid="{3C54B339-0D4F-493A-90B0-8FFB12EED3DA}"/>
    <cellStyle name="Normal 8 13 2" xfId="1260" xr:uid="{87B9265F-8802-4658-BDF2-6133446530FB}"/>
    <cellStyle name="Normal 8 13 2 2" xfId="1476" xr:uid="{0CEAF93F-B32F-4782-BC88-D850C5DF5991}"/>
    <cellStyle name="Normal 8 13 2 2 2" xfId="10210" xr:uid="{7FF686CE-398F-4CD2-9CD0-DD6A0BE65087}"/>
    <cellStyle name="Normal 8 13 2 3" xfId="9994" xr:uid="{9CBC54AA-0204-4485-92A1-7CF11368A2E4}"/>
    <cellStyle name="Normal 8 13 3" xfId="1332" xr:uid="{F3EE1522-EEFB-4154-BBEE-EA6A0CD2DDFF}"/>
    <cellStyle name="Normal 8 13 3 2" xfId="1548" xr:uid="{D7A9DDEE-2338-4E9D-AFBE-868E3863246E}"/>
    <cellStyle name="Normal 8 13 3 2 2" xfId="10282" xr:uid="{1654BD9B-AF8B-47BE-84E9-453C046B7098}"/>
    <cellStyle name="Normal 8 13 3 3" xfId="10066" xr:uid="{9A5A4220-9E80-48D9-9793-0AE2938F611A}"/>
    <cellStyle name="Normal 8 13 4" xfId="1404" xr:uid="{3408D9C4-BB3E-4A5D-8FDF-5FC7D6B62C9D}"/>
    <cellStyle name="Normal 8 13 4 2" xfId="10138" xr:uid="{CD7E5277-CEC0-42C6-998C-A8C9EE461F9E}"/>
    <cellStyle name="Normal 8 13 5" xfId="9922" xr:uid="{1DC3E4D4-669C-4699-A4C2-B64393159103}"/>
    <cellStyle name="Normal 8 14" xfId="1196" xr:uid="{3BC066DF-CD02-493B-B1D0-925DABEB4DD8}"/>
    <cellStyle name="Normal 8 14 2" xfId="1423" xr:uid="{57754A7A-ABCB-4B90-849C-A3D7294EF54B}"/>
    <cellStyle name="Normal 8 14 2 2" xfId="10157" xr:uid="{02C80EF8-59DB-4079-B299-F1FDD76F4359}"/>
    <cellStyle name="Normal 8 14 3" xfId="9941" xr:uid="{DD18E50C-3531-4159-8843-D9A5D42138D9}"/>
    <cellStyle name="Normal 8 15" xfId="1279" xr:uid="{9C4FA680-E293-4F3B-AE34-7DCAE102FD5B}"/>
    <cellStyle name="Normal 8 15 2" xfId="1495" xr:uid="{543C761C-3F1B-463F-944B-298CC9F9D203}"/>
    <cellStyle name="Normal 8 15 2 2" xfId="10229" xr:uid="{A850DF0B-512C-46DB-85C3-CF5E922675D5}"/>
    <cellStyle name="Normal 8 15 3" xfId="10013" xr:uid="{30DE746A-6A53-4914-9B61-766968BC72F2}"/>
    <cellStyle name="Normal 8 16" xfId="1351" xr:uid="{78F34A5A-127B-451D-9644-9624D340ABB8}"/>
    <cellStyle name="Normal 8 16 2" xfId="10085" xr:uid="{50EA1388-CDC8-4259-B990-CCA6FB69E1D7}"/>
    <cellStyle name="Normal 8 17" xfId="9867" xr:uid="{4F13793F-A31C-4C64-BA6E-AF6BFF3B9A73}"/>
    <cellStyle name="Normal 8 18" xfId="744" xr:uid="{50A44A03-14F9-40EC-958A-3FE1862D667B}"/>
    <cellStyle name="Normal 8 2" xfId="745" xr:uid="{EEC8B354-C061-44D9-9F91-CBDEAA6A3BCC}"/>
    <cellStyle name="Normal 8 2 10" xfId="1352" xr:uid="{98AC9FBD-BB16-4C78-B1D3-2900A1E76620}"/>
    <cellStyle name="Normal 8 2 10 2" xfId="10086" xr:uid="{7E9C180C-B107-4B95-9844-83E3EFF5A078}"/>
    <cellStyle name="Normal 8 2 11" xfId="9868" xr:uid="{FEDB07EC-5244-4A91-A703-7EEBE1E8EB59}"/>
    <cellStyle name="Normal 8 2 2" xfId="898" xr:uid="{CA91CE1D-D96D-443D-B501-2D190F9E1C40}"/>
    <cellStyle name="Normal 8 2 2 2" xfId="960" xr:uid="{9F0539DB-500F-41F9-A3B1-666495F32029}"/>
    <cellStyle name="Normal 8 2 2 3" xfId="1211" xr:uid="{2BBB2527-EE6F-4543-821C-7400132E8CDB}"/>
    <cellStyle name="Normal 8 2 2 3 2" xfId="1437" xr:uid="{930DBBBB-4669-47E1-AF99-7C3EE2D31B56}"/>
    <cellStyle name="Normal 8 2 2 3 2 2" xfId="10171" xr:uid="{6FB8050A-6AD6-4EEB-A93D-EFA303749275}"/>
    <cellStyle name="Normal 8 2 2 3 3" xfId="9955" xr:uid="{A7913B03-2072-4632-AB20-4DC8BFDA3924}"/>
    <cellStyle name="Normal 8 2 2 4" xfId="1293" xr:uid="{31238C1E-39EE-475A-ADDB-5B2949DE60B7}"/>
    <cellStyle name="Normal 8 2 2 4 2" xfId="1509" xr:uid="{EE28D341-158E-448E-B0DF-2DB511249969}"/>
    <cellStyle name="Normal 8 2 2 4 2 2" xfId="10243" xr:uid="{2EB3E3F9-211E-4DD2-9135-775CC6B8A03D}"/>
    <cellStyle name="Normal 8 2 2 4 3" xfId="10027" xr:uid="{EA3F8956-4AF2-4E49-A9D5-2670C8354C6C}"/>
    <cellStyle name="Normal 8 2 2 5" xfId="1365" xr:uid="{DF8FCC53-4BFD-4583-BFE6-DED24795A994}"/>
    <cellStyle name="Normal 8 2 2 5 2" xfId="10099" xr:uid="{077D7FB5-6B16-453F-9A27-8777D4DCBE02}"/>
    <cellStyle name="Normal 8 2 2 6" xfId="9883" xr:uid="{64843F89-820D-4D9B-A203-3380F4891BF3}"/>
    <cellStyle name="Normal 8 2 3" xfId="941" xr:uid="{9E3DA2AA-B04C-4549-834D-845937E6D80F}"/>
    <cellStyle name="Normal 8 2 3 2" xfId="959" xr:uid="{C7EB299D-068F-4637-8E73-C11E9E9D179D}"/>
    <cellStyle name="Normal 8 2 3 3" xfId="1224" xr:uid="{551797AC-A508-49F4-8650-F3EC1860ECD7}"/>
    <cellStyle name="Normal 8 2 3 3 2" xfId="1450" xr:uid="{FDEFFD18-9EAE-40CC-A619-9B74F8EF5DD4}"/>
    <cellStyle name="Normal 8 2 3 3 2 2" xfId="10184" xr:uid="{8489EBC6-562F-4452-8CBF-D5C6C08EDC17}"/>
    <cellStyle name="Normal 8 2 3 3 3" xfId="9968" xr:uid="{47C8CCC6-E8AC-45E4-BDC5-017B1EA3AB4D}"/>
    <cellStyle name="Normal 8 2 3 4" xfId="1306" xr:uid="{1ADC19DF-6908-4CDC-86BB-A2F289B98FFB}"/>
    <cellStyle name="Normal 8 2 3 4 2" xfId="1522" xr:uid="{0C61B5C1-A9CD-42BB-879D-F1C9DEA089F1}"/>
    <cellStyle name="Normal 8 2 3 4 2 2" xfId="10256" xr:uid="{2CF4882B-605D-41E9-84FF-10276D02DDBE}"/>
    <cellStyle name="Normal 8 2 3 4 3" xfId="10040" xr:uid="{2E8D7249-EAA2-4D64-AD6C-64CD0A87A53E}"/>
    <cellStyle name="Normal 8 2 3 5" xfId="1378" xr:uid="{5F18A15F-9909-466F-A531-1CCA26E0DF37}"/>
    <cellStyle name="Normal 8 2 3 5 2" xfId="10112" xr:uid="{7DEB18AD-3343-46DB-B18A-5B49E3CCC513}"/>
    <cellStyle name="Normal 8 2 3 6" xfId="9896" xr:uid="{7A199583-94DE-44F7-AA4E-36D06E8C6067}"/>
    <cellStyle name="Normal 8 2 4" xfId="958" xr:uid="{0BB69205-9262-4D2F-B110-3C6671DA4B77}"/>
    <cellStyle name="Normal 8 2 4 2" xfId="957" xr:uid="{D174C118-6331-4E78-BC8C-1BE372E6732C}"/>
    <cellStyle name="Normal 8 2 5" xfId="956" xr:uid="{06FF4710-8EA1-4C78-AF43-3CE6E2D294BD}"/>
    <cellStyle name="Normal 8 2 6" xfId="955" xr:uid="{A757AC0F-94F7-4DF3-AE82-28F350E203C3}"/>
    <cellStyle name="Normal 8 2 7" xfId="1158" xr:uid="{711FCE83-676F-4089-AF3E-6EBC67C99052}"/>
    <cellStyle name="Normal 8 2 7 2" xfId="1261" xr:uid="{AFE814DB-98EA-4BCA-8481-A543D78CC6C6}"/>
    <cellStyle name="Normal 8 2 7 2 2" xfId="1477" xr:uid="{3564C568-5ED8-4530-B664-5E0CDAC49FE4}"/>
    <cellStyle name="Normal 8 2 7 2 2 2" xfId="10211" xr:uid="{4F8587F7-7217-4467-8C0D-A898DF4CEA52}"/>
    <cellStyle name="Normal 8 2 7 2 3" xfId="9995" xr:uid="{50A5F187-0E0E-403F-8518-99BDD91EAFCE}"/>
    <cellStyle name="Normal 8 2 7 3" xfId="1333" xr:uid="{B263B96C-6C60-45F7-A271-083976A3010F}"/>
    <cellStyle name="Normal 8 2 7 3 2" xfId="1549" xr:uid="{31B19CC9-885C-4D5D-A07A-E26D5867B8E4}"/>
    <cellStyle name="Normal 8 2 7 3 2 2" xfId="10283" xr:uid="{68D588BE-FD9D-4094-AB88-8AE015B07D1D}"/>
    <cellStyle name="Normal 8 2 7 3 3" xfId="10067" xr:uid="{4898537C-4E02-4563-A64B-7EA3C0C1F1DA}"/>
    <cellStyle name="Normal 8 2 7 4" xfId="1405" xr:uid="{5ED12E58-2C34-4F6A-83A5-7CD121007CDC}"/>
    <cellStyle name="Normal 8 2 7 4 2" xfId="10139" xr:uid="{B9A2DBAE-E6D5-4701-86CA-13785970BB51}"/>
    <cellStyle name="Normal 8 2 7 5" xfId="9923" xr:uid="{D059E61D-65D2-42C3-8CBC-3E70C4D2A2D4}"/>
    <cellStyle name="Normal 8 2 8" xfId="1197" xr:uid="{6592C808-CC48-4BDD-97B2-6BF04A5CF9FE}"/>
    <cellStyle name="Normal 8 2 8 2" xfId="1424" xr:uid="{7A4619B6-56BF-400A-9345-9D89066B9973}"/>
    <cellStyle name="Normal 8 2 8 2 2" xfId="10158" xr:uid="{87BB3E5B-004C-45E8-8C4B-DF331049C2BF}"/>
    <cellStyle name="Normal 8 2 8 3" xfId="9942" xr:uid="{8AF4AD56-7867-4635-9D59-A13A06A572E9}"/>
    <cellStyle name="Normal 8 2 9" xfId="1280" xr:uid="{0765F076-9802-4FD5-B833-024E36902558}"/>
    <cellStyle name="Normal 8 2 9 2" xfId="1496" xr:uid="{A614EDCA-F0A6-4CB2-935B-57A5BF58DAA2}"/>
    <cellStyle name="Normal 8 2 9 2 2" xfId="10230" xr:uid="{0F7EED19-F74E-492E-ACFD-E461163FB17A}"/>
    <cellStyle name="Normal 8 2 9 3" xfId="10014" xr:uid="{F71826F3-A9D6-4295-94FE-44A34E35F842}"/>
    <cellStyle name="Normal 8 3" xfId="897" xr:uid="{90EF18D5-4132-4501-AAD3-CC3B94C7B480}"/>
    <cellStyle name="Normal 8 3 10" xfId="9882" xr:uid="{66A7558B-AC37-4B59-8B34-BF5F58E8634A}"/>
    <cellStyle name="Normal 8 3 2" xfId="954" xr:uid="{36C7B630-DDB0-46F7-B338-673DAFB3224C}"/>
    <cellStyle name="Normal 8 3 2 2" xfId="953" xr:uid="{CA57E1C4-CCF6-4E9B-818E-8B2D6ECEDAD1}"/>
    <cellStyle name="Normal 8 3 3" xfId="952" xr:uid="{F65CF107-F865-4D20-8A42-0B450A34C1FC}"/>
    <cellStyle name="Normal 8 3 3 2" xfId="951" xr:uid="{60823C53-121A-4FE1-B292-7C6C1D1D9284}"/>
    <cellStyle name="Normal 8 3 4" xfId="950" xr:uid="{0241B523-3EAC-424F-85FF-DDF7BE1E35B9}"/>
    <cellStyle name="Normal 8 3 4 2" xfId="949" xr:uid="{F9A8F2DD-1676-4E72-8AD5-25177614D922}"/>
    <cellStyle name="Normal 8 3 5" xfId="948" xr:uid="{68F0ACF5-6E54-42E9-BD6D-188CD1B8AE02}"/>
    <cellStyle name="Normal 8 3 6" xfId="947" xr:uid="{C57379D9-74C4-4EDF-9F20-CB08ECEE7985}"/>
    <cellStyle name="Normal 8 3 7" xfId="1210" xr:uid="{A46F49D9-4B24-4E35-A439-CD4C033A477D}"/>
    <cellStyle name="Normal 8 3 7 2" xfId="1436" xr:uid="{429DA20E-30FD-4681-8A1D-33ECDD43EDE5}"/>
    <cellStyle name="Normal 8 3 7 2 2" xfId="10170" xr:uid="{8185826E-25EF-43AB-9EED-6E0E9D5DCE15}"/>
    <cellStyle name="Normal 8 3 7 3" xfId="9954" xr:uid="{9DEF342C-3843-4998-AC11-44045A4E86FB}"/>
    <cellStyle name="Normal 8 3 8" xfId="1292" xr:uid="{4018768F-57B6-4F6B-B3DC-E85CCC96843F}"/>
    <cellStyle name="Normal 8 3 8 2" xfId="1508" xr:uid="{6772C23D-96EC-4BB7-B781-BBF5821F69F5}"/>
    <cellStyle name="Normal 8 3 8 2 2" xfId="10242" xr:uid="{CE28FE51-6713-486F-B7EB-1DC264DF93B3}"/>
    <cellStyle name="Normal 8 3 8 3" xfId="10026" xr:uid="{FC454349-06BC-48C2-8F12-54758684ED13}"/>
    <cellStyle name="Normal 8 3 9" xfId="1364" xr:uid="{0A9F1CD5-EF10-4391-BDF0-EBEEE79CCE10}"/>
    <cellStyle name="Normal 8 3 9 2" xfId="10098" xr:uid="{DA12D1D1-3D6C-4B31-BB1C-94CB41A58206}"/>
    <cellStyle name="Normal 8 4" xfId="940" xr:uid="{955D6BF7-95AB-482E-A63F-8AA2EAECB4E6}"/>
    <cellStyle name="Normal 8 4 10" xfId="9895" xr:uid="{D31A26AF-DB05-4B2B-B79C-70F2402409F5}"/>
    <cellStyle name="Normal 8 4 2" xfId="946" xr:uid="{E7C9DC6B-293F-4D3C-8456-0902DD8EADFA}"/>
    <cellStyle name="Normal 8 4 2 2" xfId="945" xr:uid="{FA89797C-EEED-46CD-96FF-22973688256B}"/>
    <cellStyle name="Normal 8 4 3" xfId="944" xr:uid="{B74AEC77-CACF-4507-AAD4-CC6AE9B61D23}"/>
    <cellStyle name="Normal 8 4 3 2" xfId="939" xr:uid="{BDA5A938-8A56-434F-99FA-EE6C2BCFC516}"/>
    <cellStyle name="Normal 8 4 4" xfId="930" xr:uid="{13C4DC91-2F0B-4725-A0AB-857F65C4F627}"/>
    <cellStyle name="Normal 8 4 4 2" xfId="929" xr:uid="{6CC6F6A4-3F65-44E7-9253-19DAC8404E5B}"/>
    <cellStyle name="Normal 8 4 5" xfId="928" xr:uid="{47DD24E3-4DD5-4D0C-A88A-2564FF82A521}"/>
    <cellStyle name="Normal 8 4 6" xfId="927" xr:uid="{D592A18D-965B-4CB9-AACE-D90D51F41482}"/>
    <cellStyle name="Normal 8 4 7" xfId="1223" xr:uid="{03269CAA-1BC0-4483-8C6B-744287BF3801}"/>
    <cellStyle name="Normal 8 4 7 2" xfId="1449" xr:uid="{A9C6CFF1-3739-4E54-B273-AABC34FBD432}"/>
    <cellStyle name="Normal 8 4 7 2 2" xfId="10183" xr:uid="{59535024-8B52-4DA9-80B7-0E7508F2E2CF}"/>
    <cellStyle name="Normal 8 4 7 3" xfId="9967" xr:uid="{4D9C693F-F354-40B2-B4DD-31342A5F7344}"/>
    <cellStyle name="Normal 8 4 8" xfId="1305" xr:uid="{660B0981-798E-4C8D-A303-4B9345275BEF}"/>
    <cellStyle name="Normal 8 4 8 2" xfId="1521" xr:uid="{B865997B-F08A-42EC-B8FF-09CDEA9DF81C}"/>
    <cellStyle name="Normal 8 4 8 2 2" xfId="10255" xr:uid="{EAC161A6-E3C8-48B3-8DF4-900D9428AD22}"/>
    <cellStyle name="Normal 8 4 8 3" xfId="10039" xr:uid="{DBF8872D-BD48-4417-B44C-250681B78F11}"/>
    <cellStyle name="Normal 8 4 9" xfId="1377" xr:uid="{477C5490-E8AC-49CA-AF01-E97E0B20D1B4}"/>
    <cellStyle name="Normal 8 4 9 2" xfId="10111" xr:uid="{A4DAE690-33D3-4CBB-AC4B-AC454C390BA9}"/>
    <cellStyle name="Normal 8 5" xfId="926" xr:uid="{F953FFD6-D2E7-4C27-91B6-0EAEF14DFC11}"/>
    <cellStyle name="Normal 8 5 2" xfId="925" xr:uid="{6A4C9EF1-2CFE-4C61-88B6-B11AD8AE386F}"/>
    <cellStyle name="Normal 8 5 2 2" xfId="924" xr:uid="{E74BFDFB-AA0B-402E-BA0A-0333582AD3F8}"/>
    <cellStyle name="Normal 8 5 3" xfId="923" xr:uid="{163A7879-59C0-4716-AB22-5113A309F916}"/>
    <cellStyle name="Normal 8 5 3 2" xfId="922" xr:uid="{211313D9-C098-4863-88C9-09FDFDB0941B}"/>
    <cellStyle name="Normal 8 5 4" xfId="921" xr:uid="{43A13D2A-5149-4ECE-B7F1-A04CAC267764}"/>
    <cellStyle name="Normal 8 5 5" xfId="919" xr:uid="{97B3CFA9-166B-43EA-B486-21213A787FC9}"/>
    <cellStyle name="Normal 8 6" xfId="901" xr:uid="{0C87BDF4-7412-4089-AC3C-3C3FD9826D20}"/>
    <cellStyle name="Normal 8 6 2" xfId="918" xr:uid="{6EECBBC9-6DDA-414F-8950-CBCBEEE8A81E}"/>
    <cellStyle name="Normal 8 6 2 2" xfId="917" xr:uid="{FF1813ED-369B-407F-B1F6-EA5D3630F146}"/>
    <cellStyle name="Normal 8 6 3" xfId="916" xr:uid="{4ECB80AF-4B93-42BA-8F54-041DE167AE07}"/>
    <cellStyle name="Normal 8 6 3 2" xfId="915" xr:uid="{9F21A2A0-A228-4E5E-BEFF-ADC156C914C4}"/>
    <cellStyle name="Normal 8 6 4" xfId="914" xr:uid="{CFD2D4FC-52A7-4947-A375-B92C04ED6EE4}"/>
    <cellStyle name="Normal 8 6 5" xfId="913" xr:uid="{4EABDA69-01C3-48A3-952F-BB6FCA20EF39}"/>
    <cellStyle name="Normal 8 7" xfId="912" xr:uid="{9FA258AD-07E6-49F3-B3CF-7CFC2753A952}"/>
    <cellStyle name="Normal 8 7 2" xfId="911" xr:uid="{224864D4-43FC-4747-B356-9F7B76A5FCB8}"/>
    <cellStyle name="Normal 8 7 2 2" xfId="910" xr:uid="{42668CB5-64B1-407C-8361-4A13352125D1}"/>
    <cellStyle name="Normal 8 7 3" xfId="909" xr:uid="{0228F616-F055-4420-BCF1-0C3250E5340B}"/>
    <cellStyle name="Normal 8 7 3 2" xfId="908" xr:uid="{D03F97EF-C196-45AC-B901-D53EF39C10D8}"/>
    <cellStyle name="Normal 8 7 4" xfId="907" xr:uid="{7D8FA6E7-A6BB-442A-8B3F-FAC903A5D4A1}"/>
    <cellStyle name="Normal 8 7 5" xfId="906" xr:uid="{59AA3B4F-E584-4851-B25A-919CE2074F9F}"/>
    <cellStyle name="Normal 8 8" xfId="905" xr:uid="{6F2D9E9E-8A66-4384-A4AC-08FB442970E1}"/>
    <cellStyle name="Normal 8 8 2" xfId="904" xr:uid="{8528D2BC-EDD3-4F1C-88D3-EF768A86F4EE}"/>
    <cellStyle name="Normal 8 9" xfId="903" xr:uid="{AFCBABC4-C293-4C1B-86D1-5761EAC58795}"/>
    <cellStyle name="Normal 8 9 2" xfId="902" xr:uid="{BD0F477A-B6F5-415C-BD08-17AC338FDA40}"/>
    <cellStyle name="Normal 9" xfId="347" xr:uid="{00000000-0005-0000-0000-0000B8010000}"/>
    <cellStyle name="Normal 9 10" xfId="1281" xr:uid="{9C48ABF4-64C0-4349-8DBF-EF247E2BC4F3}"/>
    <cellStyle name="Normal 9 10 2" xfId="1497" xr:uid="{8AB6F9A9-A41F-44ED-8934-4E24DFE32290}"/>
    <cellStyle name="Normal 9 10 2 2" xfId="10231" xr:uid="{53D8E9C2-C8E0-4F47-9D3F-7ED1DD986156}"/>
    <cellStyle name="Normal 9 10 3" xfId="10015" xr:uid="{B95DEBA1-2358-4769-9FFE-06977D4538C4}"/>
    <cellStyle name="Normal 9 11" xfId="1353" xr:uid="{DCB5B44E-A11B-4ECB-B062-5428C9BBEEFB}"/>
    <cellStyle name="Normal 9 11 2" xfId="10087" xr:uid="{E703956A-71D9-4171-8B1E-67651637071E}"/>
    <cellStyle name="Normal 9 12" xfId="9869" xr:uid="{6905D50C-B35B-4714-BB5B-DC68D0F804AE}"/>
    <cellStyle name="Normal 9 13" xfId="746" xr:uid="{AAF5C296-C106-4794-9B96-243971C133A0}"/>
    <cellStyle name="Normal 9 2" xfId="747" xr:uid="{AB29BE79-6AA9-434B-B20A-9B2F1C71ED58}"/>
    <cellStyle name="Normal 9 2 2" xfId="900" xr:uid="{6A0E03EE-EBB9-4F67-985F-764F1E61C11B}"/>
    <cellStyle name="Normal 9 2 2 2" xfId="1213" xr:uid="{CF4AC796-A079-47E3-9CBD-C6874AC79E80}"/>
    <cellStyle name="Normal 9 2 2 2 2" xfId="1439" xr:uid="{09A2A205-FDE6-4C51-9E22-D43488C1A51D}"/>
    <cellStyle name="Normal 9 2 2 2 2 2" xfId="10173" xr:uid="{413C2896-798D-4A60-BDB9-4C43F72FE662}"/>
    <cellStyle name="Normal 9 2 2 2 3" xfId="9957" xr:uid="{D7F19A5D-4FAE-4379-BE19-1E6521A3EE71}"/>
    <cellStyle name="Normal 9 2 2 3" xfId="1295" xr:uid="{8FFCF023-AD77-4E2E-93D6-2FA450D9B4CB}"/>
    <cellStyle name="Normal 9 2 2 3 2" xfId="1511" xr:uid="{DC26A6DC-58F0-42B9-A4B5-F031B68C8875}"/>
    <cellStyle name="Normal 9 2 2 3 2 2" xfId="10245" xr:uid="{1A2C0310-A4C7-4A42-A937-858AEC9F8AF4}"/>
    <cellStyle name="Normal 9 2 2 3 3" xfId="10029" xr:uid="{19EB5325-A48F-4549-949C-3E1F5DE46ED1}"/>
    <cellStyle name="Normal 9 2 2 4" xfId="1367" xr:uid="{14F7D433-9248-4E76-AB33-AEFE29063175}"/>
    <cellStyle name="Normal 9 2 2 4 2" xfId="10101" xr:uid="{919408DB-6AC8-477A-B57D-FA48154C5E0C}"/>
    <cellStyle name="Normal 9 2 2 5" xfId="9885" xr:uid="{7D00F39B-CD1C-4577-BDD9-878EE51376D1}"/>
    <cellStyle name="Normal 9 2 3" xfId="943" xr:uid="{0EF78420-8E94-4B7A-8055-56CE6D0DD770}"/>
    <cellStyle name="Normal 9 2 3 2" xfId="1226" xr:uid="{45B9078B-EBBA-47D5-B127-DF14AD02D8F4}"/>
    <cellStyle name="Normal 9 2 3 2 2" xfId="1452" xr:uid="{FD95AC85-0FF1-4D41-897E-65C24BC48E8D}"/>
    <cellStyle name="Normal 9 2 3 2 2 2" xfId="10186" xr:uid="{7CBF4ACB-3077-4115-A413-3378824247BC}"/>
    <cellStyle name="Normal 9 2 3 2 3" xfId="9970" xr:uid="{0DEC8ABF-5D8C-4C87-B34F-64F823430E3F}"/>
    <cellStyle name="Normal 9 2 3 3" xfId="1308" xr:uid="{39518EBD-74CE-4D11-9E93-4DA4A34ED413}"/>
    <cellStyle name="Normal 9 2 3 3 2" xfId="1524" xr:uid="{9CB1FDCA-97D0-4D47-857D-A025710936B9}"/>
    <cellStyle name="Normal 9 2 3 3 2 2" xfId="10258" xr:uid="{37A78580-6AA5-4E73-B568-3E821ADC474F}"/>
    <cellStyle name="Normal 9 2 3 3 3" xfId="10042" xr:uid="{065AD550-AF38-407B-B548-ABC165322F4E}"/>
    <cellStyle name="Normal 9 2 3 4" xfId="1380" xr:uid="{88391EE9-9D7B-4B1F-AEEA-C6978CF4B683}"/>
    <cellStyle name="Normal 9 2 3 4 2" xfId="10114" xr:uid="{B7C44378-6339-4E7F-8311-FD6ECEECD31D}"/>
    <cellStyle name="Normal 9 2 3 5" xfId="9898" xr:uid="{6082B0B0-BC48-4AED-AA86-FA08406FEF49}"/>
    <cellStyle name="Normal 9 2 4" xfId="1160" xr:uid="{542DD53F-FDDF-49AC-93C4-A62C759D0830}"/>
    <cellStyle name="Normal 9 2 4 2" xfId="1263" xr:uid="{2EB8B9B5-6EAD-4BA6-990B-E8E0961BDC17}"/>
    <cellStyle name="Normal 9 2 4 2 2" xfId="1479" xr:uid="{3F77D79C-314B-4404-9FCF-05330A9CD6E0}"/>
    <cellStyle name="Normal 9 2 4 2 2 2" xfId="10213" xr:uid="{71995BCF-769C-455D-A551-A11A29030742}"/>
    <cellStyle name="Normal 9 2 4 2 3" xfId="9997" xr:uid="{D972D6E8-09BF-4921-A192-F0BC383F0B05}"/>
    <cellStyle name="Normal 9 2 4 3" xfId="1335" xr:uid="{0AF866B3-CF47-4A09-AE58-F91493480960}"/>
    <cellStyle name="Normal 9 2 4 3 2" xfId="1551" xr:uid="{103AA0F3-6D1A-4C86-8523-3CCD637156C4}"/>
    <cellStyle name="Normal 9 2 4 3 2 2" xfId="10285" xr:uid="{85BEBE97-0BA0-4EFE-B137-10FA3DB265D9}"/>
    <cellStyle name="Normal 9 2 4 3 3" xfId="10069" xr:uid="{F9B40037-FEFE-4343-89B2-D0D1D620A115}"/>
    <cellStyle name="Normal 9 2 4 4" xfId="1407" xr:uid="{C5E73B99-BD7F-426D-BE1B-66927046F86A}"/>
    <cellStyle name="Normal 9 2 4 4 2" xfId="10141" xr:uid="{D413A238-CDF0-4B2C-A821-77DAEA830A67}"/>
    <cellStyle name="Normal 9 2 4 5" xfId="9925" xr:uid="{F1F64636-57A5-41E6-B560-534869FD19F1}"/>
    <cellStyle name="Normal 9 2 5" xfId="1199" xr:uid="{826BEDF4-C15F-43C4-B1BF-E73BA2F0761E}"/>
    <cellStyle name="Normal 9 2 5 2" xfId="1426" xr:uid="{A1FB687C-4538-43F1-8AF9-0A534C3506A9}"/>
    <cellStyle name="Normal 9 2 5 2 2" xfId="10160" xr:uid="{4001711F-23D3-44B9-A196-67F12DF152A7}"/>
    <cellStyle name="Normal 9 2 5 3" xfId="9944" xr:uid="{3299A17F-228F-4E89-B837-558E90B6BA74}"/>
    <cellStyle name="Normal 9 2 6" xfId="1282" xr:uid="{9318AA52-7492-4626-ADAC-85E5ACA66E9D}"/>
    <cellStyle name="Normal 9 2 6 2" xfId="1498" xr:uid="{20EB7248-7698-47CD-890B-3B44450A4544}"/>
    <cellStyle name="Normal 9 2 6 2 2" xfId="10232" xr:uid="{8C436BFB-F08A-4C87-82A0-6B7A98E4826D}"/>
    <cellStyle name="Normal 9 2 6 3" xfId="10016" xr:uid="{38B34A9C-9E68-45D6-A8C9-C0D574600ED2}"/>
    <cellStyle name="Normal 9 2 7" xfId="1354" xr:uid="{D9B761C3-330A-4B2D-9F1F-56A3682F679C}"/>
    <cellStyle name="Normal 9 2 7 2" xfId="10088" xr:uid="{76233261-4D8B-4157-B5CE-0E66031EFB29}"/>
    <cellStyle name="Normal 9 2 8" xfId="9870" xr:uid="{EEF29037-016B-491A-9D2E-CFDC4D0CB04D}"/>
    <cellStyle name="Normal 9 3" xfId="899" xr:uid="{5D50B518-0238-4E49-A3F2-0D4A6744F80C}"/>
    <cellStyle name="Normal 9 3 2" xfId="1212" xr:uid="{BC63A557-2679-4A13-9FD2-077E473BEACE}"/>
    <cellStyle name="Normal 9 3 2 2" xfId="1438" xr:uid="{1CDA1EB1-AF42-4E04-A75A-19868BE58BB9}"/>
    <cellStyle name="Normal 9 3 2 2 2" xfId="10172" xr:uid="{8F022C12-E4FE-4CB1-B761-80BE290A9B8D}"/>
    <cellStyle name="Normal 9 3 2 3" xfId="9956" xr:uid="{D696D485-B03E-4B5F-8114-2FF163CBC34F}"/>
    <cellStyle name="Normal 9 3 3" xfId="1294" xr:uid="{E17CEA31-0830-4B09-9F83-53CED0D9A50F}"/>
    <cellStyle name="Normal 9 3 3 2" xfId="1510" xr:uid="{48355222-1FB4-4B0D-BA8B-045368D92B2F}"/>
    <cellStyle name="Normal 9 3 3 2 2" xfId="10244" xr:uid="{20A57412-CD4F-490B-A71A-0EE9FFBF07D7}"/>
    <cellStyle name="Normal 9 3 3 3" xfId="10028" xr:uid="{63303517-A584-47A4-8D0A-11A4C1ECFB38}"/>
    <cellStyle name="Normal 9 3 4" xfId="1366" xr:uid="{388F1E8A-9BA8-43FB-9CAF-6CDADFE3C739}"/>
    <cellStyle name="Normal 9 3 4 2" xfId="10100" xr:uid="{1DE68890-DE12-4E9A-8F97-3ABBC7169326}"/>
    <cellStyle name="Normal 9 3 5" xfId="9884" xr:uid="{98BAF750-49DC-4BB2-A9C1-2456DE3FDB74}"/>
    <cellStyle name="Normal 9 4" xfId="942" xr:uid="{6E2355F6-DAE0-497F-9681-B11F27CA1EDC}"/>
    <cellStyle name="Normal 9 4 2" xfId="1225" xr:uid="{F8C83355-B9EA-4E53-BF72-D19F03D2B796}"/>
    <cellStyle name="Normal 9 4 2 2" xfId="1451" xr:uid="{CE4214D3-EA5E-4162-AC82-69C3FCF3B071}"/>
    <cellStyle name="Normal 9 4 2 2 2" xfId="10185" xr:uid="{4A5A496F-CA37-4990-A62B-06612D6CD6E8}"/>
    <cellStyle name="Normal 9 4 2 3" xfId="9969" xr:uid="{B1DB7954-4975-4975-B466-7583A1FBF978}"/>
    <cellStyle name="Normal 9 4 3" xfId="1307" xr:uid="{2B034374-41B6-4E3E-9F84-5FBA3F984048}"/>
    <cellStyle name="Normal 9 4 3 2" xfId="1523" xr:uid="{27AB31B0-13BE-4682-AE4D-35FD933D2C04}"/>
    <cellStyle name="Normal 9 4 3 2 2" xfId="10257" xr:uid="{6AF6B901-6DFF-4D9C-837F-280D49878B86}"/>
    <cellStyle name="Normal 9 4 3 3" xfId="10041" xr:uid="{70A7C7A7-27BF-4A69-BB55-5D4CEF7EB30B}"/>
    <cellStyle name="Normal 9 4 4" xfId="1379" xr:uid="{DF035E69-C890-40EF-B52F-2BDB5374D063}"/>
    <cellStyle name="Normal 9 4 4 2" xfId="10113" xr:uid="{F170BC08-8D8A-42D2-824F-98BDD956E5DA}"/>
    <cellStyle name="Normal 9 4 5" xfId="9897" xr:uid="{534AABA7-C99C-46A1-8FD9-8E7CD1C1F36B}"/>
    <cellStyle name="Normal 9 5" xfId="1127" xr:uid="{EE45C8F8-391B-4865-875A-79BDCDC5C3A1}"/>
    <cellStyle name="Normal 9 5 2" xfId="1234" xr:uid="{E631C7AF-5B3B-4C79-B84D-BAF797FF6662}"/>
    <cellStyle name="Normal 9 5 2 2" xfId="1460" xr:uid="{DE68BBE5-40DD-47AE-B839-FC75102AF098}"/>
    <cellStyle name="Normal 9 5 2 2 2" xfId="10194" xr:uid="{7B7387B2-1E56-4616-8812-447D6A4D5BC8}"/>
    <cellStyle name="Normal 9 5 2 3" xfId="9978" xr:uid="{3F78F0DD-2224-4000-8D6E-BF6B9D7A03C8}"/>
    <cellStyle name="Normal 9 5 3" xfId="1316" xr:uid="{3D53B128-7A3F-4D16-B52B-D7E780EACAA5}"/>
    <cellStyle name="Normal 9 5 3 2" xfId="1532" xr:uid="{DF2C44E2-E492-427D-B67F-5896DFAFE753}"/>
    <cellStyle name="Normal 9 5 3 2 2" xfId="10266" xr:uid="{63DB89C9-411F-4E5F-AE8F-21521815D80C}"/>
    <cellStyle name="Normal 9 5 3 3" xfId="10050" xr:uid="{F3D3E1E5-400A-4FF5-913F-CB955675734E}"/>
    <cellStyle name="Normal 9 5 4" xfId="1388" xr:uid="{FD195D19-F231-4013-B968-80C1DC85F306}"/>
    <cellStyle name="Normal 9 5 4 2" xfId="10122" xr:uid="{F22F4E85-F9E3-4D42-8865-81A0AF708EA3}"/>
    <cellStyle name="Normal 9 5 5" xfId="9906" xr:uid="{669EFBB7-A990-4124-BA5F-75AA12081693}"/>
    <cellStyle name="Normal 9 6" xfId="1134" xr:uid="{DEB15B44-4381-4317-A842-2E0C1FD506F8}"/>
    <cellStyle name="Normal 9 6 2" xfId="1240" xr:uid="{274DA4D7-D87A-4774-91C8-857B76EB419F}"/>
    <cellStyle name="Normal 9 6 2 2" xfId="1466" xr:uid="{2EB33B49-1C27-4546-88A1-73D90A66169A}"/>
    <cellStyle name="Normal 9 6 2 2 2" xfId="10200" xr:uid="{42CE4AE8-DBB5-437D-80DD-1A38B7B1DE07}"/>
    <cellStyle name="Normal 9 6 2 3" xfId="9984" xr:uid="{C3DCE661-DC6B-4B39-9C42-60ED5EC42C64}"/>
    <cellStyle name="Normal 9 6 3" xfId="1322" xr:uid="{A48154E3-18E9-47F1-B7D2-92528692A1D5}"/>
    <cellStyle name="Normal 9 6 3 2" xfId="1538" xr:uid="{2A01066B-51CF-4839-A85E-AB254F0DDBF8}"/>
    <cellStyle name="Normal 9 6 3 2 2" xfId="10272" xr:uid="{A0350475-A482-4D53-9499-FFA15CB65953}"/>
    <cellStyle name="Normal 9 6 3 3" xfId="10056" xr:uid="{05DE1198-6890-47A4-803C-F33199C9FB19}"/>
    <cellStyle name="Normal 9 6 4" xfId="1394" xr:uid="{C76D0B02-72F1-4F8C-A17A-F4B4D7FE026B}"/>
    <cellStyle name="Normal 9 6 4 2" xfId="10128" xr:uid="{9324C15D-DD6F-4F3F-B57D-4879B6127D45}"/>
    <cellStyle name="Normal 9 6 5" xfId="9912" xr:uid="{B54D57F2-5EA5-4CB1-AB70-468A3BF2A83D}"/>
    <cellStyle name="Normal 9 7" xfId="1159" xr:uid="{30D13926-8046-4198-9BFF-426E5C905BCE}"/>
    <cellStyle name="Normal 9 7 2" xfId="1262" xr:uid="{216ED2CA-B5FF-4D08-8861-DBD484C32436}"/>
    <cellStyle name="Normal 9 7 2 2" xfId="1478" xr:uid="{EB32D944-7C97-4017-8B68-4199F1BEC4FB}"/>
    <cellStyle name="Normal 9 7 2 2 2" xfId="10212" xr:uid="{1AEBE206-F810-4F48-ABA9-0DC08C8F4C9A}"/>
    <cellStyle name="Normal 9 7 2 3" xfId="9996" xr:uid="{42B97FE1-F98C-425E-B7B2-E5FE906FDBA2}"/>
    <cellStyle name="Normal 9 7 3" xfId="1334" xr:uid="{7BC46DA1-E8D8-40B2-96D4-0B100180A334}"/>
    <cellStyle name="Normal 9 7 3 2" xfId="1550" xr:uid="{3F6E3086-5FCB-41AF-803A-946F8B88489A}"/>
    <cellStyle name="Normal 9 7 3 2 2" xfId="10284" xr:uid="{3EE19C6A-3E5C-4F12-A0CA-43DC2C108C2B}"/>
    <cellStyle name="Normal 9 7 3 3" xfId="10068" xr:uid="{7FBEE6D1-36C0-4702-AF73-1126EA63413F}"/>
    <cellStyle name="Normal 9 7 4" xfId="1406" xr:uid="{DBC99025-4546-4D71-9EF8-FF2BB1562C40}"/>
    <cellStyle name="Normal 9 7 4 2" xfId="10140" xr:uid="{7450F7A4-00A8-43C5-84BE-2F60DB4C03D9}"/>
    <cellStyle name="Normal 9 7 5" xfId="9924" xr:uid="{1766AA48-A0C3-4E32-B587-9CA5E4E30676}"/>
    <cellStyle name="Normal 9 8" xfId="1177" xr:uid="{FFE0C09B-74BC-4944-B19B-2DF4F3A29527}"/>
    <cellStyle name="Normal 9 8 2" xfId="1269" xr:uid="{CD7B6DC3-5BAC-4B4B-B7C7-8A8BBBA3110D}"/>
    <cellStyle name="Normal 9 8 2 2" xfId="1485" xr:uid="{7DEC2375-F062-494A-95E9-BD82DCD34E3F}"/>
    <cellStyle name="Normal 9 8 2 2 2" xfId="10219" xr:uid="{DD473572-F1C8-46EB-9976-90D52ACFB3D0}"/>
    <cellStyle name="Normal 9 8 2 3" xfId="10003" xr:uid="{E2776785-4EE9-42F1-AF0B-B81C4DE3721E}"/>
    <cellStyle name="Normal 9 8 3" xfId="1341" xr:uid="{6BCDC12B-8CA4-47D7-8355-7C3560B4CCA8}"/>
    <cellStyle name="Normal 9 8 3 2" xfId="1557" xr:uid="{CF10A32C-AFBA-4C1B-BFCB-F7B2CC1A21CB}"/>
    <cellStyle name="Normal 9 8 3 2 2" xfId="10291" xr:uid="{04AED383-D636-4231-94AA-B38B3E01680E}"/>
    <cellStyle name="Normal 9 8 3 3" xfId="10075" xr:uid="{F61C972D-5E80-4118-9394-DCCA46F06489}"/>
    <cellStyle name="Normal 9 8 4" xfId="1413" xr:uid="{1FF997FB-AD4C-4749-B677-64A82FFB1A75}"/>
    <cellStyle name="Normal 9 8 4 2" xfId="10147" xr:uid="{9EF2E628-BC1B-4E0B-A361-E84064374CD5}"/>
    <cellStyle name="Normal 9 8 5" xfId="9931" xr:uid="{D0FB3B76-CC11-4E34-BEAD-D7A2E86B0A7E}"/>
    <cellStyle name="Normal 9 9" xfId="1198" xr:uid="{53A7F30A-13EC-4FC3-8B92-57F58558C342}"/>
    <cellStyle name="Normal 9 9 2" xfId="1425" xr:uid="{A8C10A37-271C-425B-B709-165EEBDE4A67}"/>
    <cellStyle name="Normal 9 9 2 2" xfId="10159" xr:uid="{F608E7EA-F5FA-4154-97D0-73AA894BB1ED}"/>
    <cellStyle name="Normal 9 9 3" xfId="9943" xr:uid="{A8A254CE-45CB-4747-9D8D-8D3A8444B6F0}"/>
    <cellStyle name="Normal$" xfId="348" xr:uid="{00000000-0005-0000-0000-0000B9010000}"/>
    <cellStyle name="Normal_FERC Functional M&amp;S All Cos" xfId="1064" xr:uid="{5AE80594-FEC1-4641-A9BE-CD016ACAB72B}"/>
    <cellStyle name="Normal_Support 2003 PSI Peak Demand excluding Joint Owners 2" xfId="1065" xr:uid="{32B14049-C297-46A6-849F-0BA8CE51587A}"/>
    <cellStyle name="Normal1" xfId="349" xr:uid="{00000000-0005-0000-0000-0000BB010000}"/>
    <cellStyle name="Normal9" xfId="350" xr:uid="{00000000-0005-0000-0000-0000BC010000}"/>
    <cellStyle name="Note 2" xfId="351" xr:uid="{00000000-0005-0000-0000-0000BD010000}"/>
    <cellStyle name="Note 2 2" xfId="352" xr:uid="{00000000-0005-0000-0000-0000BE010000}"/>
    <cellStyle name="Note 2 2 2" xfId="353" xr:uid="{00000000-0005-0000-0000-0000BF010000}"/>
    <cellStyle name="Note 2 2 2 2" xfId="495" xr:uid="{00000000-0005-0000-0000-0000C0010000}"/>
    <cellStyle name="Note 2 2 3" xfId="354" xr:uid="{00000000-0005-0000-0000-0000C1010000}"/>
    <cellStyle name="Note 2 2 3 2" xfId="496" xr:uid="{00000000-0005-0000-0000-0000C2010000}"/>
    <cellStyle name="Note 2 2 4" xfId="355" xr:uid="{00000000-0005-0000-0000-0000C3010000}"/>
    <cellStyle name="Note 2 2 5" xfId="494" xr:uid="{00000000-0005-0000-0000-0000C4010000}"/>
    <cellStyle name="Note 2 2 6" xfId="9620" xr:uid="{F7883992-E1EF-456B-BA01-5200FEDA3538}"/>
    <cellStyle name="Note 2 3" xfId="356" xr:uid="{00000000-0005-0000-0000-0000C5010000}"/>
    <cellStyle name="Note 2 3 2" xfId="497" xr:uid="{00000000-0005-0000-0000-0000C6010000}"/>
    <cellStyle name="Note 2 4" xfId="357" xr:uid="{00000000-0005-0000-0000-0000C7010000}"/>
    <cellStyle name="Note 2 5" xfId="1109" xr:uid="{A1D31102-8568-4402-914C-6539231772EE}"/>
    <cellStyle name="Note 3" xfId="358" xr:uid="{00000000-0005-0000-0000-0000C8010000}"/>
    <cellStyle name="Note 4" xfId="359" xr:uid="{00000000-0005-0000-0000-0000C9010000}"/>
    <cellStyle name="Note 4 2" xfId="9621" xr:uid="{A89E4E47-AC93-4DBE-809A-4ECD62F41FBA}"/>
    <cellStyle name="Note 5" xfId="9622" xr:uid="{00C4569C-9686-4FB2-A027-FCCCE07396DA}"/>
    <cellStyle name="Note 5 2" xfId="9623" xr:uid="{5D9C0879-B346-4BB0-AB79-E07044B27D96}"/>
    <cellStyle name="Note 5 2 2" xfId="9624" xr:uid="{D991B46E-27B9-4031-BBE9-4A2A7066524B}"/>
    <cellStyle name="Note 5 2 3" xfId="9625" xr:uid="{8245397C-9745-4FB4-8D8C-958F37DCA422}"/>
    <cellStyle name="Note 5 3" xfId="9626" xr:uid="{06CC765E-C4F1-42A8-9A25-8440FA41488C}"/>
    <cellStyle name="Note 5 4" xfId="9627" xr:uid="{7337DE49-105D-4854-B08A-1F02794842F0}"/>
    <cellStyle name="Note 5 5" xfId="9628" xr:uid="{86FFBDE3-C1FA-4246-ACC6-7D06783ED593}"/>
    <cellStyle name="Note 6" xfId="9629" xr:uid="{EA61D3DB-60F3-4A87-BDB2-9D534528FE76}"/>
    <cellStyle name="Note 7" xfId="9630" xr:uid="{6FCBBDE7-DD53-46C0-9A7B-79244627E41E}"/>
    <cellStyle name="Note 8" xfId="9631" xr:uid="{780631E6-AB5C-409E-9F3E-CC23EBB5B0EA}"/>
    <cellStyle name="Note 9" xfId="9632" xr:uid="{21C9C395-86A9-4D3C-9D30-57F286B95411}"/>
    <cellStyle name="Output 2" xfId="360" xr:uid="{00000000-0005-0000-0000-0000CA010000}"/>
    <cellStyle name="Output 2 2" xfId="361" xr:uid="{00000000-0005-0000-0000-0000CB010000}"/>
    <cellStyle name="Output 2 3" xfId="362" xr:uid="{00000000-0005-0000-0000-0000CC010000}"/>
    <cellStyle name="Output 2 4" xfId="363" xr:uid="{00000000-0005-0000-0000-0000CD010000}"/>
    <cellStyle name="Output 2 5" xfId="1110" xr:uid="{29FCC0F9-C029-4EDC-865D-547A02974917}"/>
    <cellStyle name="Output 3" xfId="9633" xr:uid="{8B84EB4B-E07C-4481-88F9-157BCA38E335}"/>
    <cellStyle name="Output 4" xfId="9634" xr:uid="{DBA3CE62-41CB-43C8-B3A4-39B5F4298055}"/>
    <cellStyle name="Output 5" xfId="9635" xr:uid="{5184F9FC-11E0-4C76-AA3C-1C247CFD7563}"/>
    <cellStyle name="Output 6" xfId="9636" xr:uid="{E0EA8429-4C01-47E1-B2F8-6A3D2A4130F3}"/>
    <cellStyle name="Output 7" xfId="9637" xr:uid="{A99A05F0-B4D1-45D6-B7F7-206DBCB85B1A}"/>
    <cellStyle name="Output 8" xfId="9638" xr:uid="{8EA3060D-50FE-4032-A9F0-BF4C1A5CCE76}"/>
    <cellStyle name="Output 9" xfId="9639" xr:uid="{03123BD8-1BA3-4CE7-A2BD-9784914CB20A}"/>
    <cellStyle name="Output1_Back" xfId="748" xr:uid="{0854D5E8-5854-4565-9A50-0A3E2189D7A1}"/>
    <cellStyle name="p" xfId="749" xr:uid="{6E50521B-93AC-4BD8-BFEA-4B4189B4EC68}"/>
    <cellStyle name="p_2010 Attachment O  GG_082709" xfId="750" xr:uid="{C8248CAD-2CC7-4ACE-AFED-E1987C221A84}"/>
    <cellStyle name="p_2010 Attachment O Template Supporting Work Papers_ITC Midwest" xfId="751" xr:uid="{CF5474D2-38B9-484D-8D71-8E359A8555F3}"/>
    <cellStyle name="p_2010 Attachment O Template Supporting Work Papers_ITCTransmission" xfId="752" xr:uid="{AEB537B0-3FB3-4710-B6FE-3A7201F2BA88}"/>
    <cellStyle name="p_2010 Attachment O Template Supporting Work Papers_METC" xfId="753" xr:uid="{7428ABB5-A325-490C-9357-807812BF7240}"/>
    <cellStyle name="p_2Mod11" xfId="754" xr:uid="{60F28261-43BE-4C44-90CE-C790A252852F}"/>
    <cellStyle name="p_aavidmod11.xls Chart 1" xfId="755" xr:uid="{1B8DE114-20B9-4349-9792-13473A69257E}"/>
    <cellStyle name="p_aavidmod11.xls Chart 2" xfId="756" xr:uid="{66B11A9B-354C-40BB-BC72-FCAB30775085}"/>
    <cellStyle name="p_Attachment O &amp; GG" xfId="757" xr:uid="{EE737271-D48D-4598-85D7-056E952368CA}"/>
    <cellStyle name="p_charts for capm" xfId="758" xr:uid="{B3212BE4-5A93-4978-A2B2-C2B41617B4A8}"/>
    <cellStyle name="p_DCF" xfId="759" xr:uid="{2D63C9AC-37DB-4BEE-8403-DF8237E951E3}"/>
    <cellStyle name="p_DCF_2Mod11" xfId="760" xr:uid="{C9600E12-C9B3-4B8B-8532-42FAE742D416}"/>
    <cellStyle name="p_DCF_aavidmod11.xls Chart 1" xfId="761" xr:uid="{4ECC856A-4982-4AE1-AC6B-8816A5C6DF9C}"/>
    <cellStyle name="p_DCF_aavidmod11.xls Chart 2" xfId="762" xr:uid="{527BEF58-8D8C-45BA-BA65-36AA4686525F}"/>
    <cellStyle name="p_DCF_charts for capm" xfId="763" xr:uid="{C2C867DE-EC27-44D6-96F2-FA7B2BDBB268}"/>
    <cellStyle name="p_DCF_DCF5" xfId="764" xr:uid="{566164AB-7F18-4509-8D51-5389B3594F1E}"/>
    <cellStyle name="p_DCF_Template2" xfId="765" xr:uid="{282C49CE-A988-4405-9634-5BF0226B8960}"/>
    <cellStyle name="p_DCF_Template2_1" xfId="766" xr:uid="{73C5E7A9-65AF-4113-9CA9-6682749ECCBC}"/>
    <cellStyle name="p_DCF_VERA" xfId="767" xr:uid="{1014B715-D101-483D-819C-80A1DC641D9D}"/>
    <cellStyle name="p_DCF_VERA_1" xfId="768" xr:uid="{36BA8668-4D49-4176-A9D9-5F798EEBDDF6}"/>
    <cellStyle name="p_DCF_VERA_1_Template2" xfId="769" xr:uid="{00F2610A-7513-449B-8B4E-452D1626DD8A}"/>
    <cellStyle name="p_DCF_VERA_aavidmod11.xls Chart 2" xfId="770" xr:uid="{71EA2D54-0D07-4B28-9A26-6542598480AC}"/>
    <cellStyle name="p_DCF_VERA_Model02" xfId="771" xr:uid="{3E9AE1C0-111A-4464-BB16-390E62757709}"/>
    <cellStyle name="p_DCF_VERA_Template2" xfId="772" xr:uid="{F5EBF261-10C4-49E7-B233-2758B3A469B6}"/>
    <cellStyle name="p_DCF_VERA_VERA" xfId="773" xr:uid="{E5678496-D61C-4FFD-98A5-C77501C27746}"/>
    <cellStyle name="p_DCF_VERA_VERA_1" xfId="774" xr:uid="{6834A4D9-E4D5-43D9-A8AB-BD8BFD3C0B35}"/>
    <cellStyle name="p_DCF_VERA_VERA_2" xfId="775" xr:uid="{8EDD8AF2-93D0-4D0E-8956-9B72BC358B53}"/>
    <cellStyle name="p_DCF_VERA_VERA_Template2" xfId="776" xr:uid="{E6E88386-9B9E-4DD9-98CA-76A5A6F1C052}"/>
    <cellStyle name="p_DCF5" xfId="777" xr:uid="{BAD0E287-0C7B-41F4-92B4-9B9C31106D39}"/>
    <cellStyle name="p_ITC Great Plains Formula 1-12-09a" xfId="778" xr:uid="{E5FBF225-6867-4212-8302-4DD186BE2A37}"/>
    <cellStyle name="p_ITCM 2010 Template" xfId="779" xr:uid="{D180A295-BD60-4C31-A9F2-F85BAE98BCD3}"/>
    <cellStyle name="p_ITCMW 2009 Rate" xfId="780" xr:uid="{5C67FF4D-C624-4921-B2C8-B1089CFEB1ED}"/>
    <cellStyle name="p_ITCMW 2010 Rate_083109" xfId="781" xr:uid="{79E40CFC-1825-4853-81E6-D302D86DEC60}"/>
    <cellStyle name="p_ITCOP 2010 Rate_083109" xfId="782" xr:uid="{D285D868-5B2C-468D-A934-0E53C7A76247}"/>
    <cellStyle name="p_ITCT 2009 Rate" xfId="783" xr:uid="{62609A0A-5DC6-4673-A050-7582C3325D72}"/>
    <cellStyle name="p_ITCT New 2010 Attachment O &amp; GG_111209NL" xfId="784" xr:uid="{6C86FE79-3F33-43DE-A47B-56D31A1A6CC4}"/>
    <cellStyle name="p_METC 2010 Rate_083109" xfId="785" xr:uid="{BD0620DB-AC63-452E-99CF-6EE57B2B1D9D}"/>
    <cellStyle name="p_Template2" xfId="786" xr:uid="{4E2245E0-26F7-44C2-A0E1-0F98A7297DB1}"/>
    <cellStyle name="p_Template2_1" xfId="787" xr:uid="{AB729466-6FB1-464C-8C3E-E43E30CC2698}"/>
    <cellStyle name="p_VERA" xfId="788" xr:uid="{14B374F2-3FFF-44A8-8B56-4AD469F09156}"/>
    <cellStyle name="p_VERA_1" xfId="789" xr:uid="{D34EBE5D-A7FC-4DAB-A0A4-F0A4A50E0289}"/>
    <cellStyle name="p_VERA_1_Template2" xfId="790" xr:uid="{BBD757E1-7914-42BB-930F-84728B15D981}"/>
    <cellStyle name="p_VERA_aavidmod11.xls Chart 2" xfId="791" xr:uid="{FD976F24-5645-43AA-AA13-E5E86CBC0B25}"/>
    <cellStyle name="p_VERA_Model02" xfId="792" xr:uid="{CC975374-2A4D-4DF0-8400-62FD27E99B16}"/>
    <cellStyle name="p_VERA_Template2" xfId="793" xr:uid="{97A8231A-9FB6-4F15-9928-DB1911A646CF}"/>
    <cellStyle name="p_VERA_VERA" xfId="794" xr:uid="{B03872F6-EA70-4506-95D0-AF6A097CE6F1}"/>
    <cellStyle name="p_VERA_VERA_1" xfId="795" xr:uid="{68FFE3CF-F510-47EC-B2B4-97098769F8F5}"/>
    <cellStyle name="p_VERA_VERA_2" xfId="796" xr:uid="{39B5B8BC-02E6-437C-A327-5F21F1193A1B}"/>
    <cellStyle name="p_VERA_VERA_Template2" xfId="797" xr:uid="{195D64BB-ECA5-46A1-9398-E3CADE634502}"/>
    <cellStyle name="p1" xfId="798" xr:uid="{0BA91FF3-06A4-45D2-894B-50BF6842631A}"/>
    <cellStyle name="p2" xfId="799" xr:uid="{EB16C62B-63E5-43B4-8281-24012F8C89DF}"/>
    <cellStyle name="p3" xfId="800" xr:uid="{4E0B362E-BA86-41C8-B14F-6153E26786BC}"/>
    <cellStyle name="Percent" xfId="9" builtinId="5"/>
    <cellStyle name="Percent %" xfId="801" xr:uid="{306928DC-88D5-4681-9038-EA8D729BF694}"/>
    <cellStyle name="Percent % Long Underline" xfId="802" xr:uid="{7DCB496F-47E2-4B86-9162-4AB7C8D3A015}"/>
    <cellStyle name="Percent (0)" xfId="803" xr:uid="{097C8B5D-35C1-42B8-8E99-EBF8BFD8D216}"/>
    <cellStyle name="Percent [0]" xfId="804" xr:uid="{24FB255C-4918-4772-ADA3-AD24458126D7}"/>
    <cellStyle name="Percent [1]" xfId="805" xr:uid="{5FE787E8-C133-412F-A93C-D7E69C17B3FE}"/>
    <cellStyle name="Percent [2]" xfId="806" xr:uid="{7728A37D-B5E1-4ABC-A4EE-599ED0525F01}"/>
    <cellStyle name="Percent [3]" xfId="807" xr:uid="{D00BCAF3-2923-42EF-A2FB-E0A75B16F629}"/>
    <cellStyle name="Percent 0.0%" xfId="808" xr:uid="{61AA4167-1BAA-4F63-B143-44131861A0C3}"/>
    <cellStyle name="Percent 0.0% Long Underline" xfId="809" xr:uid="{756CE3EB-790E-43F0-9F77-AEA178AD5359}"/>
    <cellStyle name="Percent 0.00%" xfId="810" xr:uid="{7A0FA5DA-3180-4CFF-B407-89027F2DB572}"/>
    <cellStyle name="Percent 0.00% Long Underline" xfId="811" xr:uid="{D9AD4AD7-75CB-4E33-8252-8EEAFEE26AB8}"/>
    <cellStyle name="Percent 0.000%" xfId="812" xr:uid="{EA2DABB7-C121-45EE-AA74-75E56B7ECD31}"/>
    <cellStyle name="Percent 0.000% Long Underline" xfId="813" xr:uid="{3981C992-9B9F-4145-800A-D88AF1D5870D}"/>
    <cellStyle name="Percent 0.0000%" xfId="814" xr:uid="{C7A3466C-8B9D-41C2-89C7-8F99C102438E}"/>
    <cellStyle name="Percent 0.0000% Long Underline" xfId="815" xr:uid="{B3B309F7-9392-4CD2-89F8-8199E2F101B0}"/>
    <cellStyle name="Percent 10" xfId="1135" xr:uid="{AA8942DB-766D-4115-BBF1-F50F15F3929D}"/>
    <cellStyle name="Percent 11" xfId="1146" xr:uid="{345B20A8-367E-445E-8161-C29B201CFBC8}"/>
    <cellStyle name="Percent 11 2" xfId="1249" xr:uid="{19ADCE5C-5361-4CCD-83C0-70A97B9FE92D}"/>
    <cellStyle name="Percent 12" xfId="1136" xr:uid="{45911CD9-E1E7-409C-92A6-D306C3A3ED0B}"/>
    <cellStyle name="Percent 12 2" xfId="1241" xr:uid="{9CC60533-666B-40A1-8042-2B3FADA70EC9}"/>
    <cellStyle name="Percent 13" xfId="1182" xr:uid="{155C3DA6-A95B-47F8-BA08-FD4E7B9E2CC5}"/>
    <cellStyle name="Percent 14" xfId="1161" xr:uid="{79D86F68-7E3E-4CB1-B5D4-B9C112F5A36D}"/>
    <cellStyle name="Percent 15" xfId="1183" xr:uid="{96AF8E17-9F1F-4974-97A0-6DD94E67423F}"/>
    <cellStyle name="Percent 16" xfId="1166" xr:uid="{6ECD4251-8524-4E47-B702-030F982598E3}"/>
    <cellStyle name="Percent 17" xfId="1184" xr:uid="{72BD99C6-A676-4F27-8234-BA1FFFBACEB3}"/>
    <cellStyle name="Percent 18" xfId="1165" xr:uid="{8B4C236A-F6E3-441C-9BDF-D8E3252D0B1A}"/>
    <cellStyle name="Percent 19" xfId="1185" xr:uid="{D2B4138A-2F29-468F-B782-6DE9A45F8793}"/>
    <cellStyle name="Percent 2" xfId="31" xr:uid="{00000000-0005-0000-0000-0000CF010000}"/>
    <cellStyle name="Percent 2 2" xfId="364" xr:uid="{00000000-0005-0000-0000-0000D0010000}"/>
    <cellStyle name="Percent 2 2 2" xfId="420" xr:uid="{00000000-0005-0000-0000-0000D1010000}"/>
    <cellStyle name="Percent 2 2 2 2" xfId="510" xr:uid="{00000000-0005-0000-0000-0000D2010000}"/>
    <cellStyle name="Percent 2 2 3" xfId="534" xr:uid="{6D7A68E8-0BB5-4E01-93E4-4A0698A90D7F}"/>
    <cellStyle name="Percent 2 3" xfId="410" xr:uid="{00000000-0005-0000-0000-0000D3010000}"/>
    <cellStyle name="Percent 2 3 2" xfId="500" xr:uid="{00000000-0005-0000-0000-0000D4010000}"/>
    <cellStyle name="Percent 2 3 3" xfId="9640" xr:uid="{79D29BC4-5422-44B9-8920-4A176512B936}"/>
    <cellStyle name="Percent 2 4" xfId="426" xr:uid="{00000000-0005-0000-0000-0000D5010000}"/>
    <cellStyle name="Percent 2 4 2" xfId="512" xr:uid="{00000000-0005-0000-0000-0000D6010000}"/>
    <cellStyle name="Percent 2 5" xfId="432" xr:uid="{00000000-0005-0000-0000-0000D7010000}"/>
    <cellStyle name="Percent 2 5 2" xfId="517" xr:uid="{00000000-0005-0000-0000-0000D8010000}"/>
    <cellStyle name="Percent 2 6" xfId="439" xr:uid="{00000000-0005-0000-0000-0000D9010000}"/>
    <cellStyle name="Percent 20" xfId="1163" xr:uid="{D971F587-0390-4754-9785-8CD0DAB21DB6}"/>
    <cellStyle name="Percent 21" xfId="1186" xr:uid="{39E040EE-10C3-44E7-AC6B-9043053D10D9}"/>
    <cellStyle name="Percent 22" xfId="1162" xr:uid="{747C3C0A-8E50-42C6-ACB9-5E77A4376089}"/>
    <cellStyle name="Percent 3" xfId="365" xr:uid="{00000000-0005-0000-0000-0000DA010000}"/>
    <cellStyle name="Percent 3 2" xfId="366" xr:uid="{00000000-0005-0000-0000-0000DB010000}"/>
    <cellStyle name="Percent 3 2 2" xfId="555" xr:uid="{731EE25B-4E0C-4D5D-B79E-DDAC8010C676}"/>
    <cellStyle name="Percent 3 3" xfId="533" xr:uid="{BE2E23AB-7A4C-487B-B29B-3B9FA2DD99C3}"/>
    <cellStyle name="Percent 3 3 2" xfId="1111" xr:uid="{6477C033-49D8-432E-B833-FD55B2187C07}"/>
    <cellStyle name="Percent 3 4" xfId="1112" xr:uid="{F8649D37-7E83-4EBC-B12C-5D3CC901B67E}"/>
    <cellStyle name="Percent 3 5" xfId="1147" xr:uid="{6ECD364F-BCA1-4DA2-B85D-85352C36CD68}"/>
    <cellStyle name="Percent 3 5 2" xfId="1250" xr:uid="{C226043E-2616-4963-A7AC-A40E5BF7A477}"/>
    <cellStyle name="Percent 4" xfId="10" xr:uid="{00000000-0005-0000-0000-0000DC010000}"/>
    <cellStyle name="Percent 4 2" xfId="367" xr:uid="{00000000-0005-0000-0000-0000DD010000}"/>
    <cellStyle name="Percent 5" xfId="368" xr:uid="{00000000-0005-0000-0000-0000DE010000}"/>
    <cellStyle name="Percent 5 2" xfId="369" xr:uid="{00000000-0005-0000-0000-0000DF010000}"/>
    <cellStyle name="Percent 5 2 2" xfId="370" xr:uid="{00000000-0005-0000-0000-0000E0010000}"/>
    <cellStyle name="Percent 5 3" xfId="371" xr:uid="{00000000-0005-0000-0000-0000E1010000}"/>
    <cellStyle name="Percent 6" xfId="372" xr:uid="{00000000-0005-0000-0000-0000E2010000}"/>
    <cellStyle name="Percent 6 2" xfId="373" xr:uid="{00000000-0005-0000-0000-0000E3010000}"/>
    <cellStyle name="Percent 6 3" xfId="374" xr:uid="{00000000-0005-0000-0000-0000E4010000}"/>
    <cellStyle name="Percent 6 4" xfId="375" xr:uid="{00000000-0005-0000-0000-0000E5010000}"/>
    <cellStyle name="Percent 6 5" xfId="816" xr:uid="{D2D4D96B-E0B2-477A-88A3-6F29A482673F}"/>
    <cellStyle name="Percent 7" xfId="376" xr:uid="{00000000-0005-0000-0000-0000E6010000}"/>
    <cellStyle name="Percent 7 2" xfId="523" xr:uid="{68AF0A9C-74F1-4EA6-94A9-F9FBE86390F4}"/>
    <cellStyle name="Percent 7 2 2" xfId="9642" xr:uid="{7E9B00D9-9117-4C89-8C12-18EDA1E74202}"/>
    <cellStyle name="Percent 7 2 3" xfId="9643" xr:uid="{FB0458C2-934A-46C9-BCCA-23643421F4CD}"/>
    <cellStyle name="Percent 7 2 4" xfId="9641" xr:uid="{886B5A64-694D-4D4F-8380-7A4575291D52}"/>
    <cellStyle name="Percent 7 3" xfId="9644" xr:uid="{6AD39029-344C-4D5C-AF92-E88FB22B751A}"/>
    <cellStyle name="Percent 7 4" xfId="9645" xr:uid="{6ED68362-4FCC-4B68-89DF-F72A9FF93474}"/>
    <cellStyle name="Percent 7 5" xfId="9646" xr:uid="{DFCE2F1C-6115-49B5-87D8-8DAAFE118084}"/>
    <cellStyle name="Percent 8" xfId="528" xr:uid="{25538BF4-2405-48CF-BAF7-D7ADD8A31E77}"/>
    <cellStyle name="Percent 9" xfId="1093" xr:uid="{4C9E3382-64A4-4CDD-BBCF-FF399C198756}"/>
    <cellStyle name="Percent Input" xfId="817" xr:uid="{5AF5D6A8-5E64-43FA-91BC-82E68A765783}"/>
    <cellStyle name="Percent0" xfId="818" xr:uid="{01C634EF-650C-4A94-BC86-67A49CAEB3FB}"/>
    <cellStyle name="Percent1" xfId="819" xr:uid="{DBFB836C-312A-49DA-87DC-2BBBC14778B3}"/>
    <cellStyle name="Percent2" xfId="820" xr:uid="{C953759B-40DA-4C84-8AD0-6A238C23EEE2}"/>
    <cellStyle name="PSChar" xfId="11" xr:uid="{00000000-0005-0000-0000-0000E7010000}"/>
    <cellStyle name="PSChar 10" xfId="9647" xr:uid="{FAD38094-D7B2-48B4-A752-EE1B22F66137}"/>
    <cellStyle name="PSChar 10 2" xfId="9648" xr:uid="{F1E0FEB1-0D4B-4963-A9D4-450B0CAAF071}"/>
    <cellStyle name="PSChar 11" xfId="9649" xr:uid="{AEA8BEBC-0E43-4E2D-9230-EE53E71D6AB9}"/>
    <cellStyle name="PSChar 11 2" xfId="9650" xr:uid="{9B4EEDBA-5A25-4859-9F83-903950AE0363}"/>
    <cellStyle name="PSChar 12" xfId="9651" xr:uid="{2627D3D9-6ADC-49B3-A864-89913E046923}"/>
    <cellStyle name="PSChar 12 2" xfId="9652" xr:uid="{DA89F41A-5BB9-4A37-A117-033CF19AF698}"/>
    <cellStyle name="PSChar 13" xfId="9653" xr:uid="{FCED7C5F-8A38-4BB6-9363-1E90628B8780}"/>
    <cellStyle name="PSChar 14" xfId="9654" xr:uid="{ED40F7A4-23C3-4789-8AD1-84C094DC5A61}"/>
    <cellStyle name="PSChar 14 2" xfId="9655" xr:uid="{76DAB7A8-CC66-432B-BBA6-2FED1F2BC028}"/>
    <cellStyle name="PSChar 15" xfId="9656" xr:uid="{70E083E9-7FBA-4092-87A6-2373093C912D}"/>
    <cellStyle name="PSChar 16" xfId="9657" xr:uid="{3740156D-1FBB-450B-ACCD-84E559F30200}"/>
    <cellStyle name="PSChar 16 2" xfId="9658" xr:uid="{53D5B9D7-5BC7-48E5-8485-C94C409B6950}"/>
    <cellStyle name="PSChar 2" xfId="9659" xr:uid="{3BB3B907-83A7-46E1-A048-D12883A1E54A}"/>
    <cellStyle name="PSChar 2 2" xfId="9660" xr:uid="{F3136C4B-4873-4E72-BCAB-9DA695DF2E75}"/>
    <cellStyle name="PSChar 3" xfId="9661" xr:uid="{2EFD915F-DFA8-47EF-9027-5E7993DD30AA}"/>
    <cellStyle name="PSChar 3 2" xfId="9662" xr:uid="{FBC8E266-58DA-4B9B-AFA0-6926A71A9126}"/>
    <cellStyle name="PSChar 4" xfId="9663" xr:uid="{007A35E0-6FF0-4E4B-86C6-2A1EA9E930A6}"/>
    <cellStyle name="PSChar 4 2" xfId="9664" xr:uid="{3B2C8CD7-D743-440B-8745-1488C8547986}"/>
    <cellStyle name="PSChar 5" xfId="9665" xr:uid="{AF91E778-2448-49ED-B94E-3EB911FDF45A}"/>
    <cellStyle name="PSChar 5 2" xfId="9666" xr:uid="{67AB9C2B-1E9F-46AE-BF86-2BF2A7888646}"/>
    <cellStyle name="PSChar 6" xfId="9667" xr:uid="{9AFC35B7-E4D1-4D13-8691-E458B8E16849}"/>
    <cellStyle name="PSChar 6 2" xfId="9668" xr:uid="{6AAF9394-9A98-45D5-84B0-B50BDEB62467}"/>
    <cellStyle name="PSChar 7" xfId="9669" xr:uid="{AF7FEC38-153C-4283-9F2D-4AC4C4E1A6C3}"/>
    <cellStyle name="PSChar 7 2" xfId="9670" xr:uid="{AA097521-C704-4F86-9A9E-83BA3C720D36}"/>
    <cellStyle name="PSChar 8" xfId="9671" xr:uid="{61015E93-EA5E-426F-9D5B-8EF75247A18C}"/>
    <cellStyle name="PSChar 8 2" xfId="9672" xr:uid="{702F17C3-6146-47A2-8828-BDB6EC286F3F}"/>
    <cellStyle name="PSChar 9" xfId="9673" xr:uid="{526FDE51-2D9C-47B8-8F40-34B21F00FC5B}"/>
    <cellStyle name="PSChar 9 2" xfId="9674" xr:uid="{6DD86ADC-8A07-4F6F-A36E-C34375DA2977}"/>
    <cellStyle name="PSChar 9 2 2" xfId="9675" xr:uid="{81135E16-8E75-4625-AFF8-FBB50C355B16}"/>
    <cellStyle name="PSChar 9 3" xfId="9676" xr:uid="{F7B17712-1537-4717-BBE8-D64195F89239}"/>
    <cellStyle name="PSDate" xfId="12" xr:uid="{00000000-0005-0000-0000-0000E8010000}"/>
    <cellStyle name="PSDate 10" xfId="9677" xr:uid="{B61696FB-BC4D-4A89-9779-F512BC57D255}"/>
    <cellStyle name="PSDate 10 2" xfId="9678" xr:uid="{767B0156-B0A5-45E1-878A-2CA708925D1C}"/>
    <cellStyle name="PSDate 11" xfId="9679" xr:uid="{8A54A8F9-9AC7-4BAE-AD26-1474122E3DC9}"/>
    <cellStyle name="PSDate 11 2" xfId="9680" xr:uid="{AD016BB2-DC1A-40D0-BF23-9B7962321800}"/>
    <cellStyle name="PSDate 12" xfId="9681" xr:uid="{CC82C0DA-0958-4596-9BA5-8F59BC6D8FFB}"/>
    <cellStyle name="PSDate 12 2" xfId="9682" xr:uid="{C8C0CCD4-05D7-459F-8552-FB1CEF750031}"/>
    <cellStyle name="PSDate 13" xfId="9683" xr:uid="{C23B5704-4140-47B2-BB19-1F9A94D0FF71}"/>
    <cellStyle name="PSDate 14" xfId="9684" xr:uid="{A25FBF9F-9A06-4862-B2F3-37E6409CBDF6}"/>
    <cellStyle name="PSDate 14 2" xfId="9685" xr:uid="{82197DE3-A068-4CA0-AFDC-8DED2BC36E15}"/>
    <cellStyle name="PSDate 15" xfId="9686" xr:uid="{9BCF65A7-7F1E-4579-83A2-B3137692CA50}"/>
    <cellStyle name="PSDate 16" xfId="9687" xr:uid="{0ED400AF-BAE3-431A-B77E-4284BAEF01B1}"/>
    <cellStyle name="PSDate 16 2" xfId="9688" xr:uid="{050DD42C-F97D-4166-8712-6C1ADEEB7E67}"/>
    <cellStyle name="PSDate 2" xfId="9689" xr:uid="{B1D87F73-F866-42B6-BFD6-7A16308D7FD5}"/>
    <cellStyle name="PSDate 2 2" xfId="9690" xr:uid="{22852D2F-D681-4904-8D5D-414165E67062}"/>
    <cellStyle name="PSDate 3" xfId="9691" xr:uid="{767D19D4-6A41-4CA3-A40E-A2907E5B050D}"/>
    <cellStyle name="PSDate 3 2" xfId="9692" xr:uid="{8966384A-C8BD-4E65-9247-54BEAD0689B3}"/>
    <cellStyle name="PSDate 4" xfId="9693" xr:uid="{FBA80E5B-6D40-4CC6-BD14-6FAAA247E252}"/>
    <cellStyle name="PSDate 4 2" xfId="9694" xr:uid="{ECC06AC8-19F7-420B-8469-776DDEB20B71}"/>
    <cellStyle name="PSDate 5" xfId="9695" xr:uid="{C8876260-3323-4224-AA93-5A8A89D2E6CC}"/>
    <cellStyle name="PSDate 5 2" xfId="9696" xr:uid="{8E3E4769-0076-421E-9EF8-0F295FB2EA2D}"/>
    <cellStyle name="PSDate 6" xfId="9697" xr:uid="{378108DC-45AC-4B26-8BB2-EC0CDD6E3FC0}"/>
    <cellStyle name="PSDate 6 2" xfId="9698" xr:uid="{1EC8C99F-4F24-49C5-B66A-9C834FAC9F12}"/>
    <cellStyle name="PSDate 7" xfId="9699" xr:uid="{64B9A64D-598C-4238-91C6-E6D034E1EA24}"/>
    <cellStyle name="PSDate 7 2" xfId="9700" xr:uid="{6D94BA3A-A592-4BA3-B0FF-14D936C52F24}"/>
    <cellStyle name="PSDate 8" xfId="9701" xr:uid="{E5DE4288-0EDB-479C-B0B3-8CE81D331F8B}"/>
    <cellStyle name="PSDate 8 2" xfId="9702" xr:uid="{FECC2F45-3AF1-458F-8DBF-B82968AFD788}"/>
    <cellStyle name="PSDate 9" xfId="9703" xr:uid="{6C751950-2E85-46D5-A688-2D2EE1E4558B}"/>
    <cellStyle name="PSDate 9 2" xfId="9704" xr:uid="{65A526D3-1334-4037-B8E5-F5A3E6C5E005}"/>
    <cellStyle name="PSDate 9 2 2" xfId="9705" xr:uid="{A79A350B-4644-44B3-9621-C79DD6AD67E5}"/>
    <cellStyle name="PSDate 9 3" xfId="9706" xr:uid="{10FE5EFA-1B41-4DC8-9CD3-06E094451FEA}"/>
    <cellStyle name="PSDec" xfId="13" xr:uid="{00000000-0005-0000-0000-0000E9010000}"/>
    <cellStyle name="PSDec 10" xfId="9707" xr:uid="{6523750F-2F7E-4663-823C-94C563E78873}"/>
    <cellStyle name="PSDec 10 2" xfId="9708" xr:uid="{EF5C1915-E3FB-4AAF-8312-932471FAD3D1}"/>
    <cellStyle name="PSDec 11" xfId="9709" xr:uid="{321E11D0-B295-460E-8C57-C11E8C4A862C}"/>
    <cellStyle name="PSDec 11 2" xfId="9710" xr:uid="{1EAF5EAB-6A78-4FDF-9A7E-5C10D6B61C58}"/>
    <cellStyle name="PSDec 12" xfId="9711" xr:uid="{CCA1D189-CAD2-4742-9323-7D5D390EA612}"/>
    <cellStyle name="PSDec 12 2" xfId="9712" xr:uid="{34B6A4F5-FB83-400E-8E45-884648879415}"/>
    <cellStyle name="PSDec 13" xfId="9713" xr:uid="{F98C496F-0936-449D-9403-F7A136FCB9E0}"/>
    <cellStyle name="PSDec 14" xfId="9714" xr:uid="{6260A276-43B2-43FA-9B64-C824D1A98A85}"/>
    <cellStyle name="PSDec 14 2" xfId="9715" xr:uid="{E8C81CCF-6AA4-4B27-8FC9-6EDBD7485D59}"/>
    <cellStyle name="PSDec 15" xfId="9716" xr:uid="{5BF53268-0EAE-4CBB-A90B-874CA9365175}"/>
    <cellStyle name="PSDec 16" xfId="9717" xr:uid="{5B9EEF60-8DD3-4EA3-8ED8-E97BAB9F31D5}"/>
    <cellStyle name="PSDec 16 2" xfId="9718" xr:uid="{C2268681-7F4F-4AA6-A974-FB2449E9247B}"/>
    <cellStyle name="PSDec 2" xfId="9719" xr:uid="{C9148A76-190F-4CC3-AA24-6C039364BAD0}"/>
    <cellStyle name="PSDec 2 2" xfId="9720" xr:uid="{EB94F44C-FEF4-4CB1-889F-D6FC30409794}"/>
    <cellStyle name="PSDec 3" xfId="9721" xr:uid="{211FCB25-6016-4CFD-8ED0-0D8896466DEB}"/>
    <cellStyle name="PSDec 3 2" xfId="9722" xr:uid="{533E190A-09A0-47FB-BE85-B4864DF7E329}"/>
    <cellStyle name="PSDec 4" xfId="9723" xr:uid="{63CF87D4-03EC-4938-BDD6-1E31E5D44F88}"/>
    <cellStyle name="PSDec 4 2" xfId="9724" xr:uid="{56B0649C-F45C-4DD4-9CBC-4956E50604DA}"/>
    <cellStyle name="PSDec 5" xfId="9725" xr:uid="{E83D9C47-FEC6-4401-98FA-E4D3675DCCD9}"/>
    <cellStyle name="PSDec 5 2" xfId="9726" xr:uid="{81E0BAC7-363F-42EB-9997-E106FD8A821C}"/>
    <cellStyle name="PSDec 6" xfId="9727" xr:uid="{AABB1E25-88B1-4267-917D-4EF70C57219F}"/>
    <cellStyle name="PSDec 6 2" xfId="9728" xr:uid="{D5DE2D9C-DE7C-4CD0-A6FF-037DECA63D1F}"/>
    <cellStyle name="PSDec 7" xfId="9729" xr:uid="{CC9E33F9-D25E-4D1B-9BA9-2BD0B231ED46}"/>
    <cellStyle name="PSDec 7 2" xfId="9730" xr:uid="{A913DDB9-E496-4BF3-AADD-B5D8A21A5088}"/>
    <cellStyle name="PSDec 8" xfId="9731" xr:uid="{F8E8B2C2-891D-465C-BB03-CCFEC3A734D5}"/>
    <cellStyle name="PSDec 8 2" xfId="9732" xr:uid="{84AA6402-AB52-4A0E-B2D2-113D224DDD20}"/>
    <cellStyle name="PSDec 9" xfId="9733" xr:uid="{D1ABB429-0902-4F39-AF06-01A92EACD1AF}"/>
    <cellStyle name="PSDec 9 2" xfId="9734" xr:uid="{1CF898BD-4FE1-4591-920E-74D9F1627152}"/>
    <cellStyle name="PSDec 9 2 2" xfId="9735" xr:uid="{173B2E98-55C4-4B2D-A5EA-EC00EB8D0A69}"/>
    <cellStyle name="PSDec 9 3" xfId="9736" xr:uid="{6F5C8EDF-86E7-48C3-8295-43209465BD9C}"/>
    <cellStyle name="PSdesc" xfId="821" xr:uid="{9FE223CD-FDBD-4F80-B4C2-436A48303C52}"/>
    <cellStyle name="PSHeading" xfId="14" xr:uid="{00000000-0005-0000-0000-0000EA010000}"/>
    <cellStyle name="PSHeading 10" xfId="9737" xr:uid="{E8ED67BD-205F-4188-9EDE-D097DE4334E6}"/>
    <cellStyle name="PSHeading 10 2" xfId="9738" xr:uid="{9A1E818B-E52E-4565-BD21-133516B7B669}"/>
    <cellStyle name="PSHeading 10 2 2" xfId="10297" xr:uid="{9345DE67-917F-4499-9CFB-42B2629C4BED}"/>
    <cellStyle name="PSHeading 10 3" xfId="10296" xr:uid="{4A90539C-2F36-448B-8978-937A97ED2B2D}"/>
    <cellStyle name="PSHeading 11" xfId="9739" xr:uid="{99F1B875-FE41-422C-AF13-D9FCFDF4052B}"/>
    <cellStyle name="PSHeading 11 2" xfId="9740" xr:uid="{3614A0F8-C3E2-4CF6-9AF2-801531C4310C}"/>
    <cellStyle name="PSHeading 11 2 2" xfId="9741" xr:uid="{7AF6FCFE-1AB6-41A8-91F3-28A94A0CE714}"/>
    <cellStyle name="PSHeading 11 2 2 2" xfId="10300" xr:uid="{A43FEADE-5A7F-4E72-A4AB-AFEF0C7A0258}"/>
    <cellStyle name="PSHeading 11 2 3" xfId="10299" xr:uid="{8214A7E5-CAD7-4EC9-996B-27C176E3DF28}"/>
    <cellStyle name="PSHeading 11 3" xfId="9742" xr:uid="{E7DE5A46-A2CD-4699-BF0E-6BE1D5B6335B}"/>
    <cellStyle name="PSHeading 11 3 2" xfId="10301" xr:uid="{64C24D89-59D0-4829-B65E-C81DF329A783}"/>
    <cellStyle name="PSHeading 11 4" xfId="10298" xr:uid="{4D7E1459-081D-45F5-BB9D-1A0532B422CD}"/>
    <cellStyle name="PSHeading 12" xfId="9743" xr:uid="{D661F7EC-6844-4D21-BC8F-C2023F637157}"/>
    <cellStyle name="PSHeading 12 2" xfId="9744" xr:uid="{5228E373-37D1-4EE4-A94E-03441F3AB211}"/>
    <cellStyle name="PSHeading 12 2 2" xfId="10303" xr:uid="{0A168EC3-9367-4B17-846F-B7820A2C6565}"/>
    <cellStyle name="PSHeading 12 3" xfId="10302" xr:uid="{ACA3F1EA-2A41-4BCB-B2B4-4A1DE644CAF9}"/>
    <cellStyle name="PSHeading 13" xfId="9745" xr:uid="{D61C51D4-11CB-49A6-9A03-41B30799CBE3}"/>
    <cellStyle name="PSHeading 13 2" xfId="9746" xr:uid="{2DAA0B18-4C67-4971-B2C4-065AE1208452}"/>
    <cellStyle name="PSHeading 13 2 2" xfId="10305" xr:uid="{5B15D498-6E99-46EF-90B4-4CFF8D05CA34}"/>
    <cellStyle name="PSHeading 13 3" xfId="10304" xr:uid="{82DB41E5-2E86-4685-9ED4-BC6B4F6F28F2}"/>
    <cellStyle name="PSHeading 14" xfId="9747" xr:uid="{281FC7D6-DEF3-4AD1-9B25-12BA27B6146D}"/>
    <cellStyle name="PSHeading 14 2" xfId="9748" xr:uid="{2BC920B2-F634-4A20-BF3F-F1DCFE0F9D58}"/>
    <cellStyle name="PSHeading 14 2 2" xfId="10307" xr:uid="{4275CDAB-9575-4513-8D73-B0ECB227F411}"/>
    <cellStyle name="PSHeading 14 3" xfId="10306" xr:uid="{1B54F7C2-DD18-47BB-BCA8-16DA0E5D47C1}"/>
    <cellStyle name="PSHeading 15" xfId="9749" xr:uid="{4C506057-685B-4C2D-AF78-0D6EA6F4851E}"/>
    <cellStyle name="PSHeading 15 2" xfId="10308" xr:uid="{77DE836A-97D7-4C81-B81D-AABE7FB91CE1}"/>
    <cellStyle name="PSHeading 16" xfId="9750" xr:uid="{EB946C90-A7B4-4A3D-A928-AF3E36248A37}"/>
    <cellStyle name="PSHeading 16 2" xfId="9751" xr:uid="{A3C8F765-69B1-48B9-A31A-C181AFBF77FD}"/>
    <cellStyle name="PSHeading 16 2 2" xfId="10310" xr:uid="{A81EFB57-4AE6-4CB9-98D4-1632B31F98B7}"/>
    <cellStyle name="PSHeading 16 3" xfId="10309" xr:uid="{08404409-A762-4E57-A84A-05531586A1F0}"/>
    <cellStyle name="PSHeading 17" xfId="9752" xr:uid="{001DA9CF-5DF8-4BEF-B1A0-A50B1B6D3A95}"/>
    <cellStyle name="PSHeading 17 2" xfId="10311" xr:uid="{9E7AB697-05B6-4023-A84A-1690A6862459}"/>
    <cellStyle name="PSHeading 18" xfId="9753" xr:uid="{F7006202-7F8F-421D-ADE9-3D0E6B0B6DA0}"/>
    <cellStyle name="PSHeading 18 2" xfId="10312" xr:uid="{852802D9-352D-4F36-9AED-01D22F0F479E}"/>
    <cellStyle name="PSHeading 19" xfId="9754" xr:uid="{5ED0AAAA-C69F-4FA0-8F56-D4B1F59F2921}"/>
    <cellStyle name="PSHeading 19 2" xfId="9755" xr:uid="{CA2AD7D9-9A49-4302-87EA-97029D91A6B8}"/>
    <cellStyle name="PSHeading 19 2 2" xfId="10314" xr:uid="{A40553B8-5DDA-48ED-87D4-D03AF36DF8DD}"/>
    <cellStyle name="PSHeading 19 3" xfId="9756" xr:uid="{7D3DF358-9AC8-4727-9928-53733431C902}"/>
    <cellStyle name="PSHeading 19 3 2" xfId="10315" xr:uid="{C87311FF-336C-46D7-9985-7C9301587142}"/>
    <cellStyle name="PSHeading 19 4" xfId="10313" xr:uid="{69B5B2F5-D200-41EB-9081-DD6A91600C82}"/>
    <cellStyle name="PSHeading 2" xfId="9757" xr:uid="{9AF458B2-7F6C-4F3A-A9BF-BA163E78DE02}"/>
    <cellStyle name="PSHeading 2 2" xfId="9758" xr:uid="{8C2648D8-9373-4CCB-9F5D-554BD524CE81}"/>
    <cellStyle name="PSHeading 2 2 2" xfId="10317" xr:uid="{FC1D5E90-F34B-4C00-87B1-236F6C1D8096}"/>
    <cellStyle name="PSHeading 2 3" xfId="10316" xr:uid="{ED45B602-072A-4AFD-8CC5-CD81E52AAA0D}"/>
    <cellStyle name="PSHeading 20" xfId="9759" xr:uid="{6B470A2E-0232-4A3A-945C-21F20811BBFD}"/>
    <cellStyle name="PSHeading 20 2" xfId="9760" xr:uid="{3EC9C86C-C5C9-49EA-AEEE-96ABFAFA9A07}"/>
    <cellStyle name="PSHeading 20 2 2" xfId="10319" xr:uid="{385FCC32-43CA-42A4-98DA-7E6F69DECB27}"/>
    <cellStyle name="PSHeading 20 3" xfId="10318" xr:uid="{6D879D0E-E0CA-4FC7-A0DB-2F6808830A97}"/>
    <cellStyle name="PSHeading 21" xfId="9871" xr:uid="{8CBEDDC3-9860-4A39-BBC5-7F00DCD6F8A4}"/>
    <cellStyle name="PSHeading 3" xfId="9761" xr:uid="{52A7FF70-63E2-4823-AC15-62C3ED2DB1EB}"/>
    <cellStyle name="PSHeading 3 2" xfId="9762" xr:uid="{42250DE2-482A-45BF-B303-121B640C4C44}"/>
    <cellStyle name="PSHeading 3 2 2" xfId="10321" xr:uid="{5F314AC8-9C00-4E45-84B6-9227C076F82E}"/>
    <cellStyle name="PSHeading 3 3" xfId="10320" xr:uid="{BABAA9F6-EF20-48BC-8A41-530B76B81A6F}"/>
    <cellStyle name="PSHeading 4" xfId="9763" xr:uid="{929EF9C9-4458-4C06-BB02-FAA2577D1B66}"/>
    <cellStyle name="PSHeading 4 2" xfId="9764" xr:uid="{1A0AA09A-2A21-4AE2-8049-10CE20E13925}"/>
    <cellStyle name="PSHeading 4 2 2" xfId="10323" xr:uid="{4CA4A4F7-7990-47F6-8146-1E46805B5167}"/>
    <cellStyle name="PSHeading 4 3" xfId="10322" xr:uid="{D4A1A3F4-610F-4A7F-9F4B-FCD7BEE442E8}"/>
    <cellStyle name="PSHeading 5" xfId="9765" xr:uid="{E1C39FB8-EA17-4689-B3B3-0C0694A01D04}"/>
    <cellStyle name="PSHeading 5 2" xfId="9766" xr:uid="{CA003498-07FC-47D7-8A24-A637EB0CCD46}"/>
    <cellStyle name="PSHeading 5 2 2" xfId="10325" xr:uid="{AB498D3B-DADB-422C-B914-07AE2642FF52}"/>
    <cellStyle name="PSHeading 5 3" xfId="10324" xr:uid="{A9D3B2C3-FB33-4C10-B85D-B522C442798A}"/>
    <cellStyle name="PSHeading 6" xfId="9767" xr:uid="{6A1461A9-EEAE-4736-9E19-A9F957B9DC7F}"/>
    <cellStyle name="PSHeading 6 2" xfId="9768" xr:uid="{B7AC96E0-62D9-4A9C-836C-004109756B20}"/>
    <cellStyle name="PSHeading 6 2 2" xfId="10327" xr:uid="{46AE6D56-942B-4EC8-8CA8-3B0FCF0EF32B}"/>
    <cellStyle name="PSHeading 6 3" xfId="10326" xr:uid="{1D198E62-56FA-4B2A-B8EF-2843645D8B25}"/>
    <cellStyle name="PSHeading 7" xfId="9769" xr:uid="{78C4ED02-C188-4B64-B254-484D65EABE66}"/>
    <cellStyle name="PSHeading 7 2" xfId="9770" xr:uid="{B5486D24-046E-439D-870F-C8D31043E77D}"/>
    <cellStyle name="PSHeading 7 2 2" xfId="10329" xr:uid="{DE19FB13-25A5-439E-92B0-4A1D9201224F}"/>
    <cellStyle name="PSHeading 7 3" xfId="10328" xr:uid="{E50B267E-D49D-4908-BC34-868EF46EA2CD}"/>
    <cellStyle name="PSHeading 8" xfId="9771" xr:uid="{0DA50E74-97D0-4CD2-B01D-626974A649F5}"/>
    <cellStyle name="PSHeading 8 2" xfId="9772" xr:uid="{21774B55-13FE-457F-9AD3-278D4DA0A669}"/>
    <cellStyle name="PSHeading 8 2 2" xfId="10331" xr:uid="{AFCEB91E-C607-43CD-8A65-363A30C993FC}"/>
    <cellStyle name="PSHeading 8 3" xfId="10330" xr:uid="{C1FDD9DB-4BDF-490B-B7CD-9DED2EEC0913}"/>
    <cellStyle name="PSHeading 9" xfId="9773" xr:uid="{B010AF52-1B4C-4363-A525-A772A4B4C3AC}"/>
    <cellStyle name="PSHeading 9 2" xfId="10332" xr:uid="{CFC420F8-B8D7-4C20-938C-FE82B34F80DD}"/>
    <cellStyle name="PSHeading_July prelim tb" xfId="9774" xr:uid="{12DDEBD1-E5C9-4BEA-9544-82A939F000C9}"/>
    <cellStyle name="PSInt" xfId="15" xr:uid="{00000000-0005-0000-0000-0000EB010000}"/>
    <cellStyle name="PSInt 10" xfId="9775" xr:uid="{FE959B21-D8A3-4F6D-B7E1-245A2B26C1E2}"/>
    <cellStyle name="PSInt 10 2" xfId="9776" xr:uid="{C6CC96F6-17F9-472A-9F80-05D6BE409DE3}"/>
    <cellStyle name="PSInt 11" xfId="9777" xr:uid="{942FAA63-3DC7-4066-A189-45D946D7E924}"/>
    <cellStyle name="PSInt 11 2" xfId="9778" xr:uid="{872B68AB-3549-43B9-A28A-BB9249C0C2C5}"/>
    <cellStyle name="PSInt 12" xfId="9779" xr:uid="{DCD26033-BF18-4C1A-A195-981D323D689E}"/>
    <cellStyle name="PSInt 12 2" xfId="9780" xr:uid="{A5CA7DAA-678C-4448-B82F-6D4498C2D50E}"/>
    <cellStyle name="PSInt 13" xfId="9781" xr:uid="{2E49881F-01A8-4B4E-8807-C24FEA833682}"/>
    <cellStyle name="PSInt 14" xfId="9782" xr:uid="{17229DE7-48A9-491A-899B-130E37FB910E}"/>
    <cellStyle name="PSInt 14 2" xfId="9783" xr:uid="{4E80AB13-69F1-4E33-9DC9-2318DF295349}"/>
    <cellStyle name="PSInt 15" xfId="9784" xr:uid="{ABDC5546-5AF0-4A0E-9527-B7D6D596D368}"/>
    <cellStyle name="PSInt 16" xfId="9785" xr:uid="{04ADCB1D-F581-4EBF-812D-666AE7727041}"/>
    <cellStyle name="PSInt 16 2" xfId="9786" xr:uid="{8BA1AB02-BF81-4D4F-ADAC-3D697AD183C6}"/>
    <cellStyle name="PSInt 2" xfId="9787" xr:uid="{511E6B47-5E7B-4E2F-96C0-8F0CFA8A6DC7}"/>
    <cellStyle name="PSInt 2 2" xfId="9788" xr:uid="{EDF66EFC-DDE6-43CB-8169-79F3FC2B4FE3}"/>
    <cellStyle name="PSInt 3" xfId="9789" xr:uid="{98CB2CF4-C80B-41D8-BECB-7FFFEC9E8E76}"/>
    <cellStyle name="PSInt 3 2" xfId="9790" xr:uid="{2EE94AAD-C260-4A55-B625-7838BEA029E9}"/>
    <cellStyle name="PSInt 4" xfId="9791" xr:uid="{179AD8FF-4B79-4185-9398-A6923002AE1E}"/>
    <cellStyle name="PSInt 4 2" xfId="9792" xr:uid="{B10DF02A-439E-418B-B730-6B51FC947843}"/>
    <cellStyle name="PSInt 5" xfId="9793" xr:uid="{3BCA84A8-107A-4EFF-98F0-03C4AF7F5B69}"/>
    <cellStyle name="PSInt 5 2" xfId="9794" xr:uid="{7D287B7A-4808-459D-96D4-405501144F10}"/>
    <cellStyle name="PSInt 6" xfId="9795" xr:uid="{A0295331-44B7-4B7D-9F6A-B5D71E29B16E}"/>
    <cellStyle name="PSInt 6 2" xfId="9796" xr:uid="{3182EC59-74C5-450C-935A-121982428060}"/>
    <cellStyle name="PSInt 7" xfId="9797" xr:uid="{35D9AD82-8097-4E49-8B70-E7CA3A360337}"/>
    <cellStyle name="PSInt 7 2" xfId="9798" xr:uid="{0D9CD52B-12AA-4A8A-913A-54F3715719A7}"/>
    <cellStyle name="PSInt 8" xfId="9799" xr:uid="{D372D4D4-9BB2-49C4-A96E-12273F0B47E0}"/>
    <cellStyle name="PSInt 8 2" xfId="9800" xr:uid="{84C6EA1A-C06D-4B52-8C49-8C9AEA80B9C5}"/>
    <cellStyle name="PSInt 9" xfId="9801" xr:uid="{DAD15B35-B71D-4D8D-AC63-4CAFE77E5E7A}"/>
    <cellStyle name="PSInt 9 2" xfId="9802" xr:uid="{BA9A2E11-9C5E-4AE8-AFFF-E839F3DE04E6}"/>
    <cellStyle name="PSInt 9 2 2" xfId="9803" xr:uid="{9AD988F8-4D94-436A-95ED-060CC495B67B}"/>
    <cellStyle name="PSInt 9 3" xfId="9804" xr:uid="{4150E827-EEFB-490A-B53A-E4251BE10CCF}"/>
    <cellStyle name="PSSpacer" xfId="16" xr:uid="{00000000-0005-0000-0000-0000EC010000}"/>
    <cellStyle name="PSSpacer 10" xfId="9805" xr:uid="{21AEE1A2-1D46-4B91-9461-8A04A2CB6C62}"/>
    <cellStyle name="PSSpacer 10 2" xfId="9806" xr:uid="{9B0C7965-631D-4F7C-96F7-EB87340898C5}"/>
    <cellStyle name="PSSpacer 11" xfId="9807" xr:uid="{1761F006-3A7A-4D73-A632-EDF7FA33294F}"/>
    <cellStyle name="PSSpacer 11 2" xfId="9808" xr:uid="{4E8E99DC-C587-449A-99E5-B4DEF11DC660}"/>
    <cellStyle name="PSSpacer 12" xfId="9809" xr:uid="{EB502324-C5C3-4B23-A4E3-06B4DB9CB6CD}"/>
    <cellStyle name="PSSpacer 13" xfId="9810" xr:uid="{C2B414C5-1B3D-4026-BA7F-9939AF972F8F}"/>
    <cellStyle name="PSSpacer 13 2" xfId="9811" xr:uid="{B5B9BDD7-78A9-458B-91E3-E415A634A9D5}"/>
    <cellStyle name="PSSpacer 14" xfId="9812" xr:uid="{54FA415E-B35D-4F1A-98E4-0AD18CEDAC35}"/>
    <cellStyle name="PSSpacer 15" xfId="9813" xr:uid="{B45D5584-7CFC-493D-905C-96B6644BBB51}"/>
    <cellStyle name="PSSpacer 15 2" xfId="9814" xr:uid="{DAA4E12E-86B8-4F89-A648-8DEE0F591430}"/>
    <cellStyle name="PSSpacer 2" xfId="9815" xr:uid="{D010A0EA-ABE6-475B-A623-22B9946D92D7}"/>
    <cellStyle name="PSSpacer 2 2" xfId="9816" xr:uid="{03A3DD80-41FA-4F0C-AD74-843373EB3203}"/>
    <cellStyle name="PSSpacer 3" xfId="9817" xr:uid="{0B95CAD9-3F8A-46C9-9241-4FE84A942807}"/>
    <cellStyle name="PSSpacer 3 2" xfId="9818" xr:uid="{5F81E753-08B7-4B2D-9F8C-5B2DAFB60410}"/>
    <cellStyle name="PSSpacer 4" xfId="9819" xr:uid="{12CAD493-9616-4C30-B3E5-D502B99D6365}"/>
    <cellStyle name="PSSpacer 4 2" xfId="9820" xr:uid="{5A6BEB51-A4DF-4FCE-B6E9-A29956643E42}"/>
    <cellStyle name="PSSpacer 5" xfId="9821" xr:uid="{C277D833-754F-4E41-ABDD-1702205D07D2}"/>
    <cellStyle name="PSSpacer 5 2" xfId="9822" xr:uid="{A16BA2DF-70A7-460B-AC91-0700F910C7E7}"/>
    <cellStyle name="PSSpacer 6" xfId="9823" xr:uid="{5DA61D2B-7376-433C-9278-25A1A45DE2C5}"/>
    <cellStyle name="PSSpacer 6 2" xfId="9824" xr:uid="{6C4C33D9-2783-4BCC-A582-23E37191F633}"/>
    <cellStyle name="PSSpacer 7" xfId="9825" xr:uid="{5618153A-9E0F-4A76-B06B-746C4F6E7CAC}"/>
    <cellStyle name="PSSpacer 7 2" xfId="9826" xr:uid="{673AC25A-71AA-49D0-AC79-A3053AB94A3A}"/>
    <cellStyle name="PSSpacer 8" xfId="9827" xr:uid="{9C6C760C-CAB9-411D-B654-51F039F9DB94}"/>
    <cellStyle name="PSSpacer 8 2" xfId="9828" xr:uid="{25104C2C-EE00-4712-9E62-8593D6746463}"/>
    <cellStyle name="PSSpacer 8 2 2" xfId="9829" xr:uid="{E118FB71-AA1C-478F-87DD-F19BD82B09A9}"/>
    <cellStyle name="PSSpacer 8 3" xfId="9830" xr:uid="{0B7B532D-1850-43B2-8578-BA6715A491F7}"/>
    <cellStyle name="PSSpacer 9" xfId="9831" xr:uid="{4830A37A-9025-4E60-8643-DDCA1641227D}"/>
    <cellStyle name="PSSpacer 9 2" xfId="9832" xr:uid="{532BFB88-CDC5-4378-9E3B-C294714C63FC}"/>
    <cellStyle name="PStest" xfId="823" xr:uid="{72E4CCE7-E5E6-46F5-8C66-3FA3513B0631}"/>
    <cellStyle name="QUESTION" xfId="377" xr:uid="{00000000-0005-0000-0000-0000ED010000}"/>
    <cellStyle name="R00A" xfId="824" xr:uid="{3B8317FF-E81D-4D48-B372-645862FDACF6}"/>
    <cellStyle name="R00B" xfId="825" xr:uid="{AC9B73A7-1CA8-41FE-B0E1-EA932F00ED17}"/>
    <cellStyle name="R00L" xfId="826" xr:uid="{698EC29D-FAA2-4CF8-A48F-2C43E8CCAACF}"/>
    <cellStyle name="R01A" xfId="827" xr:uid="{822D7895-E2E1-4448-B033-7C9E42200C09}"/>
    <cellStyle name="R01B" xfId="828" xr:uid="{24E9A0E1-B206-468A-98EC-667486657F55}"/>
    <cellStyle name="R01H" xfId="829" xr:uid="{FA75DDED-E55F-402A-8A2C-BFA6169FE519}"/>
    <cellStyle name="R01L" xfId="830" xr:uid="{1D84C891-82CF-4149-822F-CCDF000BE325}"/>
    <cellStyle name="R02A" xfId="831" xr:uid="{EC50A613-2344-4472-8945-53EB965EE356}"/>
    <cellStyle name="R02B" xfId="832" xr:uid="{65BA42A6-2D76-4196-BAA7-D1F60B56459D}"/>
    <cellStyle name="R02H" xfId="833" xr:uid="{4A3AC52B-6D8F-4741-9CF1-CDC93FD63865}"/>
    <cellStyle name="R02L" xfId="834" xr:uid="{7BB4D189-217B-4EF8-A443-950F049CBF0F}"/>
    <cellStyle name="R03A" xfId="835" xr:uid="{2372F332-8770-49E0-917F-B3B947442E75}"/>
    <cellStyle name="R03B" xfId="836" xr:uid="{C151803C-6476-4370-B795-D2988810BA13}"/>
    <cellStyle name="R03H" xfId="837" xr:uid="{8B6EE208-55DF-4F0D-89FB-B4F820870EA7}"/>
    <cellStyle name="R03L" xfId="838" xr:uid="{77E73841-0B35-4FCE-8D80-15B595230D64}"/>
    <cellStyle name="R04A" xfId="839" xr:uid="{7269756C-56AF-4B54-A139-D4766FE15689}"/>
    <cellStyle name="R04B" xfId="840" xr:uid="{2117E197-0FCA-4614-AE5F-7CF9241571CD}"/>
    <cellStyle name="R04H" xfId="841" xr:uid="{F43352F8-2E6E-4968-957A-59F45A3C0790}"/>
    <cellStyle name="R04L" xfId="842" xr:uid="{748030DC-7A65-45D4-AFE2-7C775983EA07}"/>
    <cellStyle name="R05A" xfId="843" xr:uid="{45A65F4F-14E1-4E9C-9727-208DF84CD40C}"/>
    <cellStyle name="R05B" xfId="844" xr:uid="{73921DE3-6D34-4B16-BDE6-ED03447E205F}"/>
    <cellStyle name="R05H" xfId="845" xr:uid="{188311C2-7F58-4B52-8B6E-E13516356F92}"/>
    <cellStyle name="R05L" xfId="846" xr:uid="{BBA6594D-1AC0-4971-97D6-FD0DD467A8B7}"/>
    <cellStyle name="R05L 2" xfId="847" xr:uid="{9EABF349-CE4A-40DB-AA8B-4F1CE13549AF}"/>
    <cellStyle name="R06A" xfId="848" xr:uid="{F50E3CB0-7E63-44DA-8AC5-B9B6DB0119AA}"/>
    <cellStyle name="R06B" xfId="849" xr:uid="{725BE713-1071-462F-8526-ABC17E19EA4B}"/>
    <cellStyle name="R06H" xfId="850" xr:uid="{9EF9CA4F-6B4C-48D8-B884-98817E898E22}"/>
    <cellStyle name="R06L" xfId="851" xr:uid="{E13E0971-7900-4F2C-B83D-357CA8593E88}"/>
    <cellStyle name="R07A" xfId="852" xr:uid="{B7E1D82D-B55B-4852-B101-C3C0D120980E}"/>
    <cellStyle name="R07B" xfId="853" xr:uid="{81767EE0-5FA0-4299-9DF3-83C6A9654A96}"/>
    <cellStyle name="R07H" xfId="854" xr:uid="{A4B7E15F-37DE-4F99-97B8-591603606F52}"/>
    <cellStyle name="R07L" xfId="855" xr:uid="{AFD8FC0D-D6CC-47B9-AFAA-DDCA3341B5B1}"/>
    <cellStyle name="rborder" xfId="856" xr:uid="{20E3B7BB-FC4A-4364-A4A5-D1B819D7E70C}"/>
    <cellStyle name="red" xfId="857" xr:uid="{9250A992-997C-4E9D-8093-9134AD202E18}"/>
    <cellStyle name="s_HardInc " xfId="858" xr:uid="{70C6A764-6BFA-45E3-B371-FE3EAB120CBD}"/>
    <cellStyle name="s_HardInc _ITC Great Plains Formula 1-12-09a" xfId="859" xr:uid="{CD108656-F9B6-4551-BAEB-800CDE8B7761}"/>
    <cellStyle name="SAPBEXaggData" xfId="378" xr:uid="{00000000-0005-0000-0000-0000EE010000}"/>
    <cellStyle name="SAPBEXaggItem" xfId="379" xr:uid="{00000000-0005-0000-0000-0000EF010000}"/>
    <cellStyle name="SAPBEXaggItemX" xfId="380" xr:uid="{00000000-0005-0000-0000-0000F0010000}"/>
    <cellStyle name="SAPBEXchaText" xfId="381" xr:uid="{00000000-0005-0000-0000-0000F1010000}"/>
    <cellStyle name="SAPBEXchaText 2" xfId="382" xr:uid="{00000000-0005-0000-0000-0000F2010000}"/>
    <cellStyle name="SAPBEXchaText 2 2" xfId="383" xr:uid="{00000000-0005-0000-0000-0000F3010000}"/>
    <cellStyle name="SAPBEXchaText 3" xfId="384" xr:uid="{00000000-0005-0000-0000-0000F4010000}"/>
    <cellStyle name="SAPBEXHLevel2 11 2" xfId="385" xr:uid="{00000000-0005-0000-0000-0000F5010000}"/>
    <cellStyle name="SAPBEXHLevel2 12 2" xfId="386" xr:uid="{00000000-0005-0000-0000-0000F6010000}"/>
    <cellStyle name="SAPBEXstdData" xfId="387" xr:uid="{00000000-0005-0000-0000-0000F7010000}"/>
    <cellStyle name="SAPBEXstdItem" xfId="388" xr:uid="{00000000-0005-0000-0000-0000F8010000}"/>
    <cellStyle name="SAPBEXstdItem 2" xfId="389" xr:uid="{00000000-0005-0000-0000-0000F9010000}"/>
    <cellStyle name="SAPBEXstdItem 2 2" xfId="390" xr:uid="{00000000-0005-0000-0000-0000FA010000}"/>
    <cellStyle name="SAPBEXstdItem 3" xfId="391" xr:uid="{00000000-0005-0000-0000-0000FB010000}"/>
    <cellStyle name="SAPBEXstdItemX" xfId="392" xr:uid="{00000000-0005-0000-0000-0000FC010000}"/>
    <cellStyle name="SAPBEXstdItemX 2" xfId="393" xr:uid="{00000000-0005-0000-0000-0000FD010000}"/>
    <cellStyle name="SAPBEXstdItemX 2 2" xfId="394" xr:uid="{00000000-0005-0000-0000-0000FE010000}"/>
    <cellStyle name="SAPBEXstdItemX 3" xfId="395" xr:uid="{00000000-0005-0000-0000-0000FF010000}"/>
    <cellStyle name="scenario" xfId="860" xr:uid="{6AD0E956-59B1-4DFD-96C2-90CE6BEC9C5C}"/>
    <cellStyle name="scenario 2" xfId="9872" xr:uid="{29BE9B0C-3F72-4CCD-92E8-C212D4F08970}"/>
    <cellStyle name="SECTION" xfId="17" xr:uid="{00000000-0005-0000-0000-000000020000}"/>
    <cellStyle name="Sheetmult" xfId="861" xr:uid="{106C4ED5-338F-4107-8DC4-E5D865A2C23D}"/>
    <cellStyle name="Shtmultx" xfId="862" xr:uid="{6AAA537C-0A27-487B-9B3E-0AF8FA5B8A90}"/>
    <cellStyle name="Style 1" xfId="396" xr:uid="{00000000-0005-0000-0000-000001020000}"/>
    <cellStyle name="Style 1 2" xfId="863" xr:uid="{7C4CDC7C-01AD-4025-9881-2FBB9DB64845}"/>
    <cellStyle name="STYLE1" xfId="864" xr:uid="{A4DF8EDF-34C7-47BD-AEB6-324CDCC45727}"/>
    <cellStyle name="STYLE2" xfId="865" xr:uid="{A066F0AC-D974-4D59-AF2C-819F5677551F}"/>
    <cellStyle name="System Defined" xfId="18" xr:uid="{00000000-0005-0000-0000-000002020000}"/>
    <cellStyle name="TableHeading" xfId="866" xr:uid="{ED92ECED-E821-4BC1-87E9-41D0A675F008}"/>
    <cellStyle name="tb" xfId="867" xr:uid="{25D2F050-4650-4D77-B859-CD125EF221A0}"/>
    <cellStyle name="TemplateStyle" xfId="397" xr:uid="{00000000-0005-0000-0000-000003020000}"/>
    <cellStyle name="Tickmark" xfId="868" xr:uid="{01417261-7372-43EE-AE50-3ED164919E02}"/>
    <cellStyle name="Title 2" xfId="398" xr:uid="{00000000-0005-0000-0000-000004020000}"/>
    <cellStyle name="Title 2 2" xfId="399" xr:uid="{00000000-0005-0000-0000-000005020000}"/>
    <cellStyle name="Title 3" xfId="9833" xr:uid="{A2D52C87-5F18-4C97-A4A7-EA3D1C78F94D}"/>
    <cellStyle name="Title 4" xfId="9834" xr:uid="{ED6A5FB1-DD01-4770-A087-44BADDC12006}"/>
    <cellStyle name="Title 5" xfId="9835" xr:uid="{997C12AA-238D-41D7-80F6-D3CEB843B0C5}"/>
    <cellStyle name="Title 6" xfId="9836" xr:uid="{607BF353-5051-42AB-B04A-A61DBF3A43BE}"/>
    <cellStyle name="Title 7" xfId="9837" xr:uid="{4B84D807-B0DF-4B4D-9905-8225F21AA86E}"/>
    <cellStyle name="Title 8" xfId="9838" xr:uid="{5E691A3C-DCD0-4FBC-B389-3870087A27C1}"/>
    <cellStyle name="Title1" xfId="869" xr:uid="{4B91D3AF-BA32-47BF-9817-3F18ADF87B41}"/>
    <cellStyle name="top" xfId="870" xr:uid="{1BBFE7FB-9688-4E00-977F-7703860DDAD3}"/>
    <cellStyle name="Total 2" xfId="400" xr:uid="{00000000-0005-0000-0000-000006020000}"/>
    <cellStyle name="Total 2 2" xfId="401" xr:uid="{00000000-0005-0000-0000-000007020000}"/>
    <cellStyle name="Total 2 2 2" xfId="9840" xr:uid="{55EF512E-7298-4321-AFF9-19359FAABDB7}"/>
    <cellStyle name="Total 2 3" xfId="402" xr:uid="{00000000-0005-0000-0000-000008020000}"/>
    <cellStyle name="Total 2 4" xfId="403" xr:uid="{00000000-0005-0000-0000-000009020000}"/>
    <cellStyle name="Total 2 5" xfId="9839" xr:uid="{F36F07AE-375C-4254-B673-F24B3CEA6DAC}"/>
    <cellStyle name="Total 3" xfId="9841" xr:uid="{B6938AC2-2441-4D08-89B5-011D1C17E003}"/>
    <cellStyle name="Total 4" xfId="9842" xr:uid="{EE3CD85F-EE22-469D-AB4A-6010CEC892B7}"/>
    <cellStyle name="Total 5" xfId="9843" xr:uid="{9933CB31-A13E-4C6D-9A2E-F28DBBB9ED7F}"/>
    <cellStyle name="Total 6" xfId="9844" xr:uid="{F3045555-E074-4E30-91D1-2F623B234291}"/>
    <cellStyle name="Total 7" xfId="9845" xr:uid="{A5FA1BE7-0598-4597-8AEC-BFBB7AFCEDD8}"/>
    <cellStyle name="Total 8" xfId="9846" xr:uid="{4FE360BA-6412-43DF-B2BD-3BC0791BA0AA}"/>
    <cellStyle name="Total 9" xfId="871" xr:uid="{650E5B17-0564-4EC6-8C25-EAC1B9360BAC}"/>
    <cellStyle name="w" xfId="872" xr:uid="{228C7A65-6BCD-48EA-8601-9A485D038A39}"/>
    <cellStyle name="Warning Text 2" xfId="404" xr:uid="{00000000-0005-0000-0000-00000A020000}"/>
    <cellStyle name="Warning Text 2 2" xfId="405" xr:uid="{00000000-0005-0000-0000-00000B020000}"/>
    <cellStyle name="Warning Text 2 2 2" xfId="9847" xr:uid="{89314379-8D2E-496D-B203-8D3C878571EB}"/>
    <cellStyle name="Warning Text 2 3" xfId="406" xr:uid="{00000000-0005-0000-0000-00000C020000}"/>
    <cellStyle name="Warning Text 2 4" xfId="1117" xr:uid="{7C54C7BC-9E68-4147-8C61-D407C81D6EC1}"/>
    <cellStyle name="Warning Text 3" xfId="9848" xr:uid="{16624C59-09A6-485F-9051-9B05BFF9DBAB}"/>
    <cellStyle name="Warning Text 4" xfId="9849" xr:uid="{6025F8B6-71EE-4964-8657-3C82C5DA2F0B}"/>
    <cellStyle name="Warning Text 5" xfId="9850" xr:uid="{C64B0372-A65D-4FDA-AAFA-A3FBAE0652FE}"/>
    <cellStyle name="Warning Text 6" xfId="9851" xr:uid="{BD9760BE-A185-4D8F-9CCB-E64A2FBF5F8E}"/>
    <cellStyle name="Warning Text 7" xfId="9852" xr:uid="{F368D793-CD66-4328-8AD5-78A376E7F86E}"/>
    <cellStyle name="Warning Text 8" xfId="9853" xr:uid="{C21C3EAE-1D45-462F-BBC6-F3F1B01A7DF7}"/>
    <cellStyle name="Warning Text 9" xfId="9854" xr:uid="{E63D85C3-8447-4562-87A6-8164BD92C88D}"/>
    <cellStyle name="XComma" xfId="873" xr:uid="{DA83ABE1-2BC9-44A9-83FD-ECE7F97AAF80}"/>
    <cellStyle name="XComma 0.0" xfId="874" xr:uid="{CEEA8FB5-2DE9-4CB9-8DC6-67714E4F2B98}"/>
    <cellStyle name="XComma 0.00" xfId="875" xr:uid="{7131CDA1-A43F-4D8B-B375-3E7BC9DEF8CB}"/>
    <cellStyle name="XComma 0.000" xfId="876" xr:uid="{79D379CF-38B8-4372-9FD4-3EB1C2B676CF}"/>
    <cellStyle name="XCurrency" xfId="877" xr:uid="{55D0046B-9C05-4689-9BDB-1548891118A6}"/>
    <cellStyle name="XCurrency 0.0" xfId="878" xr:uid="{1EFFFD78-FE2D-4903-8E2C-5063EE635834}"/>
    <cellStyle name="XCurrency 0.00" xfId="879" xr:uid="{444CADE8-5C8B-48FC-9705-A33B2286FA5B}"/>
    <cellStyle name="XCurrency 0.000" xfId="880" xr:uid="{096B32C2-F9D1-4043-B321-7AB9E68D958E}"/>
    <cellStyle name="yra" xfId="881" xr:uid="{1DBCBA30-B39A-4BDF-8B0B-FF72EC78407A}"/>
    <cellStyle name="yrActual" xfId="882" xr:uid="{F56FD789-6E0B-4015-922B-CA3290FC9266}"/>
    <cellStyle name="yre" xfId="883" xr:uid="{DAD484EE-ECDE-4E5F-AAF6-59B3A7C40DC3}"/>
    <cellStyle name="yrExpect" xfId="884" xr:uid="{7357399A-182E-4B8E-B76D-8A8BE4214B87}"/>
  </cellStyles>
  <dxfs count="0"/>
  <tableStyles count="0" defaultTableStyle="TableStyleMedium9" defaultPivotStyle="PivotStyleLight16"/>
  <colors>
    <mruColors>
      <color rgb="FFFFFF99"/>
      <color rgb="FFD60093"/>
      <color rgb="FFFF66FF"/>
      <color rgb="FF81428E"/>
      <color rgb="FF33CC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AP%20Data\2007\SAFETY\ED_Sept20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GD_ScoreCa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Economic_Metrics_Mast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RES_ScoreCa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tilities_SC\2010\Utility\LOB'sCurrentScoreCard\2010_ED_ScoreCa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reenEnergy_Metrics_Mast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GreenEnergy_Metrics_Mast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tilities_SC\2009\Utility\LOB'sCurrentScoreCard\2009_COps_ScoreCa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tilities_SC\2009\Utility\LOB'sCurrentScoreCard\2009_ED_ScoreCar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tilities_SC\2009\Utility\LOB'sCurrentScoreCard\2009_Gas_ScoreCar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People_Metrics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jnwkfp10\entdata10\2000%20Cost%20Plan\99BUDV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tilities_SC\2009\Utility\LOB'sCurrentScoreCard\2009_RES_ScoreCar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Distrib%20Month%20Rpt%20Packag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spj3s\Local%20Settings\Temporary%20Internet%20Files\OLK8E9\People_Metrics_MasterSampl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jnwkfp06\PSE&amp;G\Utilities_SC\2009\Utility\CurrentFolder\GreenEnergy_Metrics_Mast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jnwkfp06\PSE&amp;G\Documents%20and%20Settings\spj3s\Local%20Settings\Temporary%20Internet%20Files\OLK8E9\People_Metrics_MasterSampl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jnwkfp06\pse&amp;g\EDST\Asset_Integ\WorkPlanCapital%20Frcst\2009\05-2009\2009%20ED%20Capital%20Projects%20By%20Mont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ilities_SC\2010\Utility\LOB'sCurrentScoreCard\2010_GD_ScoreCar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SafeReliable_Metrics_Master.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spj3s\Local%20Settings\Temporary%20Internet%20Files\OLK8E9\2009_PSE&amp;G_BS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cmm6j\Local%20Settings\Temporary%20Internet%20Files\OLK282\2010_PSE&amp;G_B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4\Account%20Recs\Dec%202014\UPS%20Dec%202014%20TC10%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moss.pseg.com/Documents%20and%20Settings/cml0o/Local%20Settings/Temporary%20Internet%20Files/OLKA8/EOG%20Meetings/July/PROJECTS/2002%20October%20EOG%20Presentation/PROJECTS/Cedar%20Creek/rate%20case%20detai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583454967128e953/Dumais%20Consulting/AES%20Corporation/AES%20Ohio/2021%20ATU/Corrected/Support/Transmission%20Forecast%20Support%20-%202022.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4%20Projection/Transmission%20Forecast%20Support%20-%202024.xlsx" TargetMode="External"/><Relationship Id="rId1" Type="http://schemas.openxmlformats.org/officeDocument/2006/relationships/externalLinkPath" Target="/583454967128e953/Dumais%20Consulting/AES%20Corporation/AES%20Ohio/2024%20Projection/Transmission%20Forecast%20Support%20-%20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tdsjs\Local%20Settings\Temporary%20Internet%20Files\OLK770\YE%20Forecast%20CWIP%20AFUDCSummary_April13%20FINAL%20SUBMISS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tilities_SC\2010\Utility\LOB'sCurrentScoreCard\2010_CO_ScoreC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CO_ScoreCa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JPLFDFD01\EntData01\ASB%20Reports\Reports%202002\Monthly%20reports\Ops%20Monthly%202002\AS%20FINANCIAL%20&amp;%20INCOME%20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cmm6j\Local%20Settings\Temporary%20Internet%20Files\OLK282\SafeReliable_Metrics_Master%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ED_ScoreC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2">
          <cell r="A2" t="str">
            <v>200700647</v>
          </cell>
          <cell r="B2" t="str">
            <v>Electric Distribution</v>
          </cell>
          <cell r="C2" t="str">
            <v>FA</v>
          </cell>
          <cell r="D2" t="str">
            <v/>
          </cell>
          <cell r="E2" t="str">
            <v/>
          </cell>
          <cell r="F2" t="str">
            <v>GRESS CHRISTOPHER L</v>
          </cell>
          <cell r="G2" t="str">
            <v>1650</v>
          </cell>
          <cell r="H2" t="str">
            <v>Bellmawr Sub</v>
          </cell>
          <cell r="I2" t="str">
            <v>00101191</v>
          </cell>
          <cell r="J2" t="str">
            <v>03:00:00</v>
          </cell>
          <cell r="K2" t="str">
            <v>08</v>
          </cell>
          <cell r="L2" t="str">
            <v/>
          </cell>
          <cell r="M2" t="str">
            <v/>
          </cell>
          <cell r="N2" t="str">
            <v/>
          </cell>
          <cell r="O2" t="str">
            <v/>
          </cell>
          <cell r="P2" t="str">
            <v>00095853</v>
          </cell>
          <cell r="Q2" t="str">
            <v>SCOTT P ZAKSZESKI</v>
          </cell>
          <cell r="R2" t="str">
            <v>00095853</v>
          </cell>
          <cell r="S2" t="str">
            <v/>
          </cell>
          <cell r="T2" t="str">
            <v>SCOTT P ZAKSZESKI</v>
          </cell>
          <cell r="U2" t="str">
            <v>CMTMS</v>
          </cell>
          <cell r="V2" t="str">
            <v>Bellmawr Sub</v>
          </cell>
          <cell r="W2" t="str">
            <v>0999</v>
          </cell>
          <cell r="X2" t="str">
            <v/>
          </cell>
          <cell r="Y2" t="str">
            <v/>
          </cell>
          <cell r="Z2" t="str">
            <v/>
          </cell>
          <cell r="AA2" t="str">
            <v/>
          </cell>
          <cell r="AB2" t="str">
            <v>None</v>
          </cell>
          <cell r="AC2" t="str">
            <v/>
          </cell>
          <cell r="AD2" t="str">
            <v/>
          </cell>
          <cell r="AE2" t="str">
            <v/>
          </cell>
          <cell r="AF2" t="str">
            <v/>
          </cell>
          <cell r="AG2">
            <v>1</v>
          </cell>
          <cell r="AH2">
            <v>39352</v>
          </cell>
          <cell r="AI2">
            <v>39352</v>
          </cell>
        </row>
        <row r="3">
          <cell r="A3" t="str">
            <v>200700661</v>
          </cell>
          <cell r="B3" t="str">
            <v>Electric Distribution</v>
          </cell>
          <cell r="C3" t="str">
            <v>FA</v>
          </cell>
          <cell r="D3" t="str">
            <v/>
          </cell>
          <cell r="E3" t="str">
            <v>RT</v>
          </cell>
          <cell r="F3" t="str">
            <v>ALFARO ALBERTO F</v>
          </cell>
          <cell r="G3" t="str">
            <v>1670</v>
          </cell>
          <cell r="H3" t="str">
            <v>Elizabeth Sub</v>
          </cell>
          <cell r="I3" t="str">
            <v>00113392</v>
          </cell>
          <cell r="J3" t="str">
            <v>11:30:00</v>
          </cell>
          <cell r="K3" t="str">
            <v>01</v>
          </cell>
          <cell r="L3" t="str">
            <v>Caught In, Under or Between</v>
          </cell>
          <cell r="M3" t="str">
            <v>Bruise/Contusion</v>
          </cell>
          <cell r="N3" t="str">
            <v>Arm</v>
          </cell>
          <cell r="O3" t="str">
            <v/>
          </cell>
          <cell r="P3" t="str">
            <v>00006571</v>
          </cell>
          <cell r="Q3" t="str">
            <v>MICHAEL E EMIHL</v>
          </cell>
          <cell r="R3" t="str">
            <v>00006571</v>
          </cell>
          <cell r="S3" t="str">
            <v/>
          </cell>
          <cell r="T3" t="str">
            <v>MICHAEL E EMIHL</v>
          </cell>
          <cell r="U3" t="str">
            <v>TDK0C</v>
          </cell>
          <cell r="V3" t="str">
            <v>Elizabeth Sub</v>
          </cell>
          <cell r="W3" t="str">
            <v>0003</v>
          </cell>
          <cell r="X3" t="str">
            <v/>
          </cell>
          <cell r="Y3" t="str">
            <v/>
          </cell>
          <cell r="Z3" t="str">
            <v/>
          </cell>
          <cell r="AA3" t="str">
            <v/>
          </cell>
          <cell r="AB3" t="str">
            <v/>
          </cell>
          <cell r="AC3" t="str">
            <v/>
          </cell>
          <cell r="AD3" t="str">
            <v/>
          </cell>
          <cell r="AE3" t="str">
            <v>:  At approximately 11:30am this morning a line crew working on the remo</v>
          </cell>
          <cell r="AF3" t="str">
            <v/>
          </cell>
          <cell r="AG3">
            <v>1</v>
          </cell>
          <cell r="AH3">
            <v>39352</v>
          </cell>
          <cell r="AI3">
            <v>39358</v>
          </cell>
        </row>
        <row r="4">
          <cell r="A4" t="str">
            <v>200700622</v>
          </cell>
          <cell r="B4" t="str">
            <v>Electric Distribution</v>
          </cell>
          <cell r="C4" t="str">
            <v>MV</v>
          </cell>
          <cell r="D4" t="str">
            <v>MV</v>
          </cell>
          <cell r="E4" t="str">
            <v/>
          </cell>
          <cell r="F4" t="str">
            <v>DUDA EDWARD</v>
          </cell>
          <cell r="G4" t="str">
            <v>1710</v>
          </cell>
          <cell r="H4" t="str">
            <v>Secaucus Hdqtrs</v>
          </cell>
          <cell r="I4" t="str">
            <v>00015173</v>
          </cell>
          <cell r="J4" t="str">
            <v>09:00:00</v>
          </cell>
          <cell r="K4" t="str">
            <v>18</v>
          </cell>
          <cell r="L4" t="str">
            <v/>
          </cell>
          <cell r="M4" t="str">
            <v/>
          </cell>
          <cell r="N4" t="str">
            <v/>
          </cell>
          <cell r="O4" t="str">
            <v>inattention while driving</v>
          </cell>
          <cell r="P4" t="str">
            <v>00013593</v>
          </cell>
          <cell r="Q4" t="str">
            <v>PAUL G RAUCH</v>
          </cell>
          <cell r="R4" t="str">
            <v>00013593</v>
          </cell>
          <cell r="S4" t="str">
            <v/>
          </cell>
          <cell r="T4" t="str">
            <v>PAUL G RAUCH</v>
          </cell>
          <cell r="U4" t="str">
            <v>TDH0S</v>
          </cell>
          <cell r="V4" t="str">
            <v>Secaucus Hdqtrs</v>
          </cell>
          <cell r="W4" t="str">
            <v>0004</v>
          </cell>
          <cell r="X4" t="str">
            <v/>
          </cell>
          <cell r="Y4" t="str">
            <v/>
          </cell>
          <cell r="Z4" t="str">
            <v/>
          </cell>
          <cell r="AA4" t="str">
            <v/>
          </cell>
          <cell r="AB4" t="str">
            <v>Driving Error by Reported Employee</v>
          </cell>
          <cell r="AC4" t="str">
            <v>Inattention</v>
          </cell>
          <cell r="AD4" t="str">
            <v>Light</v>
          </cell>
          <cell r="AE4" t="str">
            <v/>
          </cell>
          <cell r="AF4" t="str">
            <v>while waiting at a light,employee's foot slipped from brake and struck a</v>
          </cell>
          <cell r="AG4">
            <v>1</v>
          </cell>
          <cell r="AH4">
            <v>39331</v>
          </cell>
          <cell r="AI4">
            <v>39342</v>
          </cell>
        </row>
        <row r="5">
          <cell r="A5" t="str">
            <v>200700635</v>
          </cell>
          <cell r="B5" t="str">
            <v>Electric Distribution</v>
          </cell>
          <cell r="C5" t="str">
            <v>MV</v>
          </cell>
          <cell r="D5" t="str">
            <v>MV</v>
          </cell>
          <cell r="E5" t="str">
            <v/>
          </cell>
          <cell r="F5" t="str">
            <v>RYAN JAMES J</v>
          </cell>
          <cell r="G5" t="str">
            <v>1710</v>
          </cell>
          <cell r="H5" t="str">
            <v>Secaucus Hdqtrs</v>
          </cell>
          <cell r="I5" t="str">
            <v>00017455</v>
          </cell>
          <cell r="J5" t="str">
            <v>09:00:00</v>
          </cell>
          <cell r="K5" t="str">
            <v>17</v>
          </cell>
          <cell r="L5" t="str">
            <v/>
          </cell>
          <cell r="M5" t="str">
            <v/>
          </cell>
          <cell r="N5" t="str">
            <v/>
          </cell>
          <cell r="O5" t="str">
            <v>Driving Error By Other Than Reported Emp Injured</v>
          </cell>
          <cell r="P5" t="str">
            <v>00006769</v>
          </cell>
          <cell r="Q5" t="str">
            <v>JOHN J ADAMSKI</v>
          </cell>
          <cell r="R5" t="str">
            <v>00006769</v>
          </cell>
          <cell r="S5" t="str">
            <v/>
          </cell>
          <cell r="T5" t="str">
            <v>JOHN J ADAMSKI</v>
          </cell>
          <cell r="U5" t="str">
            <v>TDH0S</v>
          </cell>
          <cell r="V5" t="str">
            <v>Secaucus Hdqtrs</v>
          </cell>
          <cell r="W5" t="str">
            <v>0004</v>
          </cell>
          <cell r="X5" t="str">
            <v/>
          </cell>
          <cell r="Y5" t="str">
            <v/>
          </cell>
          <cell r="Z5" t="str">
            <v/>
          </cell>
          <cell r="AA5" t="str">
            <v/>
          </cell>
          <cell r="AB5" t="str">
            <v>None</v>
          </cell>
          <cell r="AC5" t="str">
            <v/>
          </cell>
          <cell r="AD5" t="str">
            <v>Light</v>
          </cell>
          <cell r="AE5" t="str">
            <v/>
          </cell>
          <cell r="AF5" t="str">
            <v>While setting up work at the intersections of Washington and 2nd avenue,</v>
          </cell>
          <cell r="AG5">
            <v>1</v>
          </cell>
          <cell r="AH5">
            <v>39339</v>
          </cell>
          <cell r="AI5">
            <v>39346</v>
          </cell>
        </row>
        <row r="6">
          <cell r="A6" t="str">
            <v>200700638</v>
          </cell>
          <cell r="B6" t="str">
            <v>Electric Distribution</v>
          </cell>
          <cell r="C6" t="str">
            <v>MV</v>
          </cell>
          <cell r="D6" t="str">
            <v>MV</v>
          </cell>
          <cell r="E6" t="str">
            <v>RG</v>
          </cell>
          <cell r="F6" t="str">
            <v>ARMSTRONG PRINCE M</v>
          </cell>
          <cell r="G6" t="str">
            <v>1690</v>
          </cell>
          <cell r="H6" t="str">
            <v>Clifton Hdqtrs</v>
          </cell>
          <cell r="I6" t="str">
            <v>00111639</v>
          </cell>
          <cell r="J6" t="str">
            <v>13:55:00</v>
          </cell>
          <cell r="K6" t="str">
            <v>02</v>
          </cell>
          <cell r="L6" t="str">
            <v>Motor Vehicle Accident (Any Type)</v>
          </cell>
          <cell r="M6" t="str">
            <v/>
          </cell>
          <cell r="N6" t="str">
            <v/>
          </cell>
          <cell r="O6" t="str">
            <v>Driving Error By Other Than Reported Emp Injured</v>
          </cell>
          <cell r="P6" t="str">
            <v>00021545</v>
          </cell>
          <cell r="Q6" t="str">
            <v>JOHN M STRINGER</v>
          </cell>
          <cell r="R6" t="str">
            <v>00021545</v>
          </cell>
          <cell r="S6" t="str">
            <v/>
          </cell>
          <cell r="T6" t="str">
            <v>JOHN M STRINGER</v>
          </cell>
          <cell r="U6" t="str">
            <v>CMMWM</v>
          </cell>
          <cell r="V6" t="str">
            <v>Clifton Hdqtrs</v>
          </cell>
          <cell r="W6" t="str">
            <v>0004</v>
          </cell>
          <cell r="X6" t="str">
            <v/>
          </cell>
          <cell r="Y6" t="str">
            <v/>
          </cell>
          <cell r="Z6" t="str">
            <v/>
          </cell>
          <cell r="AA6" t="str">
            <v/>
          </cell>
          <cell r="AB6" t="str">
            <v>None</v>
          </cell>
          <cell r="AC6" t="str">
            <v>Other driver at fault</v>
          </cell>
          <cell r="AD6" t="str">
            <v>Medium</v>
          </cell>
          <cell r="AE6" t="str">
            <v/>
          </cell>
          <cell r="AF6" t="str">
            <v>While Going North on Memorial Drive, driving in the right lane, passing</v>
          </cell>
          <cell r="AG6">
            <v>1</v>
          </cell>
          <cell r="AH6">
            <v>39337</v>
          </cell>
          <cell r="AI6">
            <v>39350</v>
          </cell>
        </row>
        <row r="7">
          <cell r="A7" t="str">
            <v>200700643</v>
          </cell>
          <cell r="B7" t="str">
            <v>Electric Distribution</v>
          </cell>
          <cell r="C7" t="str">
            <v>MV</v>
          </cell>
          <cell r="D7" t="str">
            <v>MV</v>
          </cell>
          <cell r="E7" t="str">
            <v/>
          </cell>
          <cell r="F7" t="str">
            <v>DOLAN JAMES P</v>
          </cell>
          <cell r="G7" t="str">
            <v>1710</v>
          </cell>
          <cell r="H7" t="str">
            <v>Secaucus Hdqtrs</v>
          </cell>
          <cell r="I7" t="str">
            <v>00110824</v>
          </cell>
          <cell r="J7" t="str">
            <v>05:45:00</v>
          </cell>
          <cell r="K7" t="str">
            <v>02</v>
          </cell>
          <cell r="L7" t="str">
            <v/>
          </cell>
          <cell r="M7" t="str">
            <v/>
          </cell>
          <cell r="N7" t="str">
            <v/>
          </cell>
          <cell r="O7" t="str">
            <v>Driving Error By Other Than Reported Emp Injured</v>
          </cell>
          <cell r="P7" t="str">
            <v>00013382</v>
          </cell>
          <cell r="Q7" t="str">
            <v>TIMOTHY M AMBACHER</v>
          </cell>
          <cell r="R7" t="str">
            <v>00013382</v>
          </cell>
          <cell r="S7" t="str">
            <v/>
          </cell>
          <cell r="T7" t="str">
            <v>TIMOTHY M AMBACHER</v>
          </cell>
          <cell r="U7" t="str">
            <v>TDD1M</v>
          </cell>
          <cell r="V7" t="str">
            <v>Secaucus Hdqtrs</v>
          </cell>
          <cell r="W7" t="str">
            <v>0004</v>
          </cell>
          <cell r="X7" t="str">
            <v/>
          </cell>
          <cell r="Y7" t="str">
            <v/>
          </cell>
          <cell r="Z7" t="str">
            <v/>
          </cell>
          <cell r="AA7" t="str">
            <v/>
          </cell>
          <cell r="AB7" t="str">
            <v>Improper passing</v>
          </cell>
          <cell r="AC7" t="str">
            <v>Cutting in or Sudden turning out</v>
          </cell>
          <cell r="AD7" t="str">
            <v>Medium</v>
          </cell>
          <cell r="AE7" t="str">
            <v/>
          </cell>
          <cell r="AF7" t="str">
            <v>Employee was stopped at red light.  As he proceeded forward on green lig</v>
          </cell>
          <cell r="AG7">
            <v>1</v>
          </cell>
          <cell r="AH7">
            <v>39292</v>
          </cell>
          <cell r="AI7">
            <v>39352</v>
          </cell>
        </row>
        <row r="8">
          <cell r="A8" t="str">
            <v>200700644</v>
          </cell>
          <cell r="B8" t="str">
            <v>Electric Distribution</v>
          </cell>
          <cell r="C8" t="str">
            <v>MV</v>
          </cell>
          <cell r="D8" t="str">
            <v>MV</v>
          </cell>
          <cell r="E8" t="str">
            <v/>
          </cell>
          <cell r="F8" t="str">
            <v>SCHNEIDER MARK S</v>
          </cell>
          <cell r="G8" t="str">
            <v>1710</v>
          </cell>
          <cell r="H8" t="str">
            <v>Secaucus Hdqtrs</v>
          </cell>
          <cell r="I8" t="str">
            <v>00012078</v>
          </cell>
          <cell r="J8" t="str">
            <v>09:15:00</v>
          </cell>
          <cell r="K8" t="str">
            <v>22</v>
          </cell>
          <cell r="L8" t="str">
            <v/>
          </cell>
          <cell r="M8" t="str">
            <v/>
          </cell>
          <cell r="N8" t="str">
            <v/>
          </cell>
          <cell r="O8" t="str">
            <v>None</v>
          </cell>
          <cell r="P8" t="str">
            <v>00012641</v>
          </cell>
          <cell r="Q8" t="str">
            <v>EDUARDO M PEREIRA</v>
          </cell>
          <cell r="R8" t="str">
            <v>00012641</v>
          </cell>
          <cell r="S8" t="str">
            <v/>
          </cell>
          <cell r="T8" t="str">
            <v>EDUARDO M PEREIRA</v>
          </cell>
          <cell r="U8" t="str">
            <v>TDD1M</v>
          </cell>
          <cell r="V8" t="str">
            <v>Secaucus Hdqtrs</v>
          </cell>
          <cell r="W8" t="str">
            <v>0004</v>
          </cell>
          <cell r="X8" t="str">
            <v/>
          </cell>
          <cell r="Y8" t="str">
            <v/>
          </cell>
          <cell r="Z8" t="str">
            <v/>
          </cell>
          <cell r="AA8" t="str">
            <v/>
          </cell>
          <cell r="AB8" t="str">
            <v>Driving Error by Reported Employee</v>
          </cell>
          <cell r="AC8" t="str">
            <v>Inattention</v>
          </cell>
          <cell r="AD8" t="str">
            <v>Medium</v>
          </cell>
          <cell r="AE8" t="str">
            <v/>
          </cell>
          <cell r="AF8" t="str">
            <v>Employee was stopped in traffic waiting for the light to change.  While</v>
          </cell>
          <cell r="AG8">
            <v>1</v>
          </cell>
          <cell r="AH8">
            <v>39330</v>
          </cell>
          <cell r="AI8">
            <v>39352</v>
          </cell>
        </row>
        <row r="9">
          <cell r="A9" t="str">
            <v>200700650</v>
          </cell>
          <cell r="B9" t="str">
            <v>Electric Distribution</v>
          </cell>
          <cell r="C9" t="str">
            <v>MV</v>
          </cell>
          <cell r="D9" t="str">
            <v>MV</v>
          </cell>
          <cell r="E9" t="str">
            <v/>
          </cell>
          <cell r="F9" t="str">
            <v>ROSSI RICHARD F</v>
          </cell>
          <cell r="G9" t="str">
            <v>1650</v>
          </cell>
          <cell r="H9" t="str">
            <v>Moorestown Sub</v>
          </cell>
          <cell r="I9" t="str">
            <v>00015072</v>
          </cell>
          <cell r="J9" t="str">
            <v>10:45:00</v>
          </cell>
          <cell r="K9" t="str">
            <v>18</v>
          </cell>
          <cell r="L9" t="str">
            <v/>
          </cell>
          <cell r="M9" t="str">
            <v/>
          </cell>
          <cell r="N9" t="str">
            <v/>
          </cell>
          <cell r="O9" t="str">
            <v>None</v>
          </cell>
          <cell r="P9" t="str">
            <v>00007850</v>
          </cell>
          <cell r="Q9" t="str">
            <v>RICHARD A HOUSTON</v>
          </cell>
          <cell r="R9" t="str">
            <v>00007850</v>
          </cell>
          <cell r="S9" t="str">
            <v/>
          </cell>
          <cell r="T9" t="str">
            <v>RICHARD A HOUSTON</v>
          </cell>
          <cell r="U9" t="str">
            <v>CMTMS</v>
          </cell>
          <cell r="V9" t="str">
            <v>Moorestown Sub</v>
          </cell>
          <cell r="W9" t="str">
            <v>0003</v>
          </cell>
          <cell r="X9" t="str">
            <v/>
          </cell>
          <cell r="Y9" t="str">
            <v/>
          </cell>
          <cell r="Z9" t="str">
            <v/>
          </cell>
          <cell r="AA9" t="str">
            <v/>
          </cell>
          <cell r="AB9" t="str">
            <v>Driving Error by Reported Employee</v>
          </cell>
          <cell r="AC9" t="str">
            <v/>
          </cell>
          <cell r="AD9" t="str">
            <v/>
          </cell>
          <cell r="AE9" t="str">
            <v/>
          </cell>
          <cell r="AF9" t="str">
            <v/>
          </cell>
          <cell r="AG9">
            <v>1</v>
          </cell>
          <cell r="AH9">
            <v>39354</v>
          </cell>
          <cell r="AI9">
            <v>39356</v>
          </cell>
        </row>
        <row r="10">
          <cell r="A10" t="str">
            <v>200700660</v>
          </cell>
          <cell r="B10" t="str">
            <v>Electric Distribution</v>
          </cell>
          <cell r="C10" t="str">
            <v>MV</v>
          </cell>
          <cell r="D10" t="str">
            <v>MV</v>
          </cell>
          <cell r="E10" t="str">
            <v/>
          </cell>
          <cell r="F10" t="str">
            <v>SCHNUCK HOWARD J</v>
          </cell>
          <cell r="G10" t="str">
            <v>1670</v>
          </cell>
          <cell r="H10" t="str">
            <v>Elizabeth Sub</v>
          </cell>
          <cell r="I10" t="str">
            <v>00089488</v>
          </cell>
          <cell r="J10" t="str">
            <v>10:45:00</v>
          </cell>
          <cell r="K10" t="str">
            <v>40</v>
          </cell>
          <cell r="L10" t="str">
            <v/>
          </cell>
          <cell r="M10" t="str">
            <v/>
          </cell>
          <cell r="N10" t="str">
            <v/>
          </cell>
          <cell r="O10" t="str">
            <v>None</v>
          </cell>
          <cell r="P10" t="str">
            <v>00006571</v>
          </cell>
          <cell r="Q10" t="str">
            <v>MICHAEL E EMIHL</v>
          </cell>
          <cell r="R10" t="str">
            <v>00006571</v>
          </cell>
          <cell r="S10" t="str">
            <v/>
          </cell>
          <cell r="T10" t="str">
            <v>MICHAEL E EMIHL</v>
          </cell>
          <cell r="U10" t="str">
            <v>TDK0C</v>
          </cell>
          <cell r="V10" t="str">
            <v>Elizabeth Sub</v>
          </cell>
          <cell r="W10" t="str">
            <v>0003</v>
          </cell>
          <cell r="X10" t="str">
            <v/>
          </cell>
          <cell r="Y10" t="str">
            <v/>
          </cell>
          <cell r="Z10" t="str">
            <v/>
          </cell>
          <cell r="AA10" t="str">
            <v/>
          </cell>
          <cell r="AB10" t="str">
            <v>Drviving error by other driver</v>
          </cell>
          <cell r="AC10" t="str">
            <v>Inattention</v>
          </cell>
          <cell r="AD10" t="str">
            <v>Stop &amp; Go</v>
          </cell>
          <cell r="AE10" t="str">
            <v/>
          </cell>
          <cell r="AF10" t="str">
            <v>At approximately 10:45 AM a chief lineman was driving on Morris Ave in</v>
          </cell>
          <cell r="AG10">
            <v>1</v>
          </cell>
          <cell r="AH10">
            <v>39343</v>
          </cell>
          <cell r="AI10">
            <v>39358</v>
          </cell>
        </row>
        <row r="11">
          <cell r="A11" t="str">
            <v>200700662</v>
          </cell>
          <cell r="B11" t="str">
            <v>Electric Distribution</v>
          </cell>
          <cell r="C11" t="str">
            <v>MV</v>
          </cell>
          <cell r="D11" t="str">
            <v>MV</v>
          </cell>
          <cell r="E11" t="str">
            <v/>
          </cell>
          <cell r="F11" t="str">
            <v>VERA JUAN</v>
          </cell>
          <cell r="G11" t="str">
            <v>1710</v>
          </cell>
          <cell r="H11" t="str">
            <v>Hackensack Sub</v>
          </cell>
          <cell r="I11" t="str">
            <v>00018660</v>
          </cell>
          <cell r="J11" t="str">
            <v>08:20:00</v>
          </cell>
          <cell r="K11" t="str">
            <v>15</v>
          </cell>
          <cell r="L11" t="str">
            <v/>
          </cell>
          <cell r="M11" t="str">
            <v/>
          </cell>
          <cell r="N11" t="str">
            <v/>
          </cell>
          <cell r="O11" t="str">
            <v>inattention of driver</v>
          </cell>
          <cell r="P11" t="str">
            <v>00019004</v>
          </cell>
          <cell r="Q11" t="str">
            <v>MICHAEL F PERCARPIO</v>
          </cell>
          <cell r="R11" t="str">
            <v>00019004</v>
          </cell>
          <cell r="S11" t="str">
            <v>TDH0S</v>
          </cell>
          <cell r="T11" t="str">
            <v>MICHAEL F PERCARPIO</v>
          </cell>
          <cell r="U11" t="str">
            <v>TDH0S</v>
          </cell>
          <cell r="V11" t="str">
            <v>Hackensack Sub</v>
          </cell>
          <cell r="W11" t="str">
            <v>0004</v>
          </cell>
          <cell r="X11" t="str">
            <v/>
          </cell>
          <cell r="Y11" t="str">
            <v/>
          </cell>
          <cell r="Z11" t="str">
            <v/>
          </cell>
          <cell r="AA11" t="str">
            <v/>
          </cell>
          <cell r="AB11" t="str">
            <v>Driving Error by Reported Employee</v>
          </cell>
          <cell r="AC11" t="str">
            <v/>
          </cell>
          <cell r="AD11" t="str">
            <v/>
          </cell>
          <cell r="AE11" t="str">
            <v/>
          </cell>
          <cell r="AF11" t="str">
            <v/>
          </cell>
          <cell r="AG11">
            <v>1</v>
          </cell>
          <cell r="AH11">
            <v>39356</v>
          </cell>
          <cell r="AI11">
            <v>39359</v>
          </cell>
        </row>
        <row r="12">
          <cell r="A12" t="str">
            <v>200700583</v>
          </cell>
          <cell r="B12" t="str">
            <v>Electric Distribution</v>
          </cell>
          <cell r="C12" t="str">
            <v>NM</v>
          </cell>
          <cell r="D12" t="str">
            <v/>
          </cell>
          <cell r="E12" t="str">
            <v/>
          </cell>
          <cell r="F12" t="str">
            <v>PERRY EVERITTE J</v>
          </cell>
          <cell r="G12" t="str">
            <v>1650</v>
          </cell>
          <cell r="H12" t="str">
            <v>Moorestown Sub</v>
          </cell>
          <cell r="I12" t="str">
            <v>00010221</v>
          </cell>
          <cell r="J12" t="str">
            <v>11:00:00</v>
          </cell>
          <cell r="K12" t="str">
            <v>24</v>
          </cell>
          <cell r="L12" t="str">
            <v>Dig In - Gas Line</v>
          </cell>
          <cell r="M12" t="str">
            <v/>
          </cell>
          <cell r="N12" t="str">
            <v/>
          </cell>
          <cell r="O12" t="str">
            <v>None</v>
          </cell>
          <cell r="P12" t="str">
            <v>00001840</v>
          </cell>
          <cell r="Q12" t="str">
            <v>JOSEPH KOVACS JR</v>
          </cell>
          <cell r="R12" t="str">
            <v>00001840</v>
          </cell>
          <cell r="S12" t="str">
            <v/>
          </cell>
          <cell r="T12" t="str">
            <v>JOSEPH KOVACS JR</v>
          </cell>
          <cell r="U12" t="str">
            <v>CMTMS</v>
          </cell>
          <cell r="V12" t="str">
            <v>Moorestown Sub</v>
          </cell>
          <cell r="W12" t="str">
            <v>0014</v>
          </cell>
          <cell r="X12" t="str">
            <v/>
          </cell>
          <cell r="Y12" t="str">
            <v/>
          </cell>
          <cell r="Z12" t="str">
            <v/>
          </cell>
          <cell r="AA12" t="str">
            <v/>
          </cell>
          <cell r="AB12" t="str">
            <v>Instructions/Rules - Failure to Follow</v>
          </cell>
          <cell r="AC12" t="str">
            <v/>
          </cell>
          <cell r="AD12" t="str">
            <v/>
          </cell>
          <cell r="AE12" t="str">
            <v>An associate was installing a “screw in” style streetlight base. As the</v>
          </cell>
          <cell r="AF12" t="str">
            <v/>
          </cell>
          <cell r="AG12">
            <v>1</v>
          </cell>
          <cell r="AH12">
            <v>39325</v>
          </cell>
          <cell r="AI12">
            <v>39329</v>
          </cell>
        </row>
        <row r="13">
          <cell r="A13" t="str">
            <v>200700652</v>
          </cell>
          <cell r="B13" t="str">
            <v>Electric Distribution</v>
          </cell>
          <cell r="C13" t="str">
            <v>NM</v>
          </cell>
          <cell r="D13" t="str">
            <v/>
          </cell>
          <cell r="E13" t="str">
            <v/>
          </cell>
          <cell r="F13" t="str">
            <v>WILLIAMS MICHAEL</v>
          </cell>
          <cell r="G13" t="str">
            <v>1650</v>
          </cell>
          <cell r="H13" t="str">
            <v>Moorestown Sub</v>
          </cell>
          <cell r="I13" t="str">
            <v>00005952</v>
          </cell>
          <cell r="J13" t="str">
            <v>10:00:00</v>
          </cell>
          <cell r="K13" t="str">
            <v>28</v>
          </cell>
          <cell r="L13" t="str">
            <v>Transformer test failed</v>
          </cell>
          <cell r="M13" t="str">
            <v/>
          </cell>
          <cell r="N13" t="str">
            <v/>
          </cell>
          <cell r="O13" t="str">
            <v>None</v>
          </cell>
          <cell r="P13" t="str">
            <v>00006454</v>
          </cell>
          <cell r="Q13" t="str">
            <v>JOSEPH B GAINES</v>
          </cell>
          <cell r="R13" t="str">
            <v>00006454</v>
          </cell>
          <cell r="S13" t="str">
            <v/>
          </cell>
          <cell r="T13" t="str">
            <v>JOSEPH B GAINES</v>
          </cell>
          <cell r="U13" t="str">
            <v>CMTMS</v>
          </cell>
          <cell r="V13" t="str">
            <v>Moorestown Sub</v>
          </cell>
          <cell r="W13" t="str">
            <v>0007</v>
          </cell>
          <cell r="X13" t="str">
            <v/>
          </cell>
          <cell r="Y13" t="str">
            <v/>
          </cell>
          <cell r="Z13" t="str">
            <v/>
          </cell>
          <cell r="AA13" t="str">
            <v/>
          </cell>
          <cell r="AB13" t="str">
            <v>None</v>
          </cell>
          <cell r="AC13" t="str">
            <v/>
          </cell>
          <cell r="AD13" t="str">
            <v/>
          </cell>
          <cell r="AE13" t="str">
            <v>PSEG INTERNAL USE ONLY_x000D_
INCIDENT ALERT SYSTEM_x000D_
ID# 200700_x000D_
_x000D_
_x000D_
Type:   N</v>
          </cell>
          <cell r="AF13" t="str">
            <v/>
          </cell>
          <cell r="AG13">
            <v>1</v>
          </cell>
          <cell r="AH13">
            <v>39337</v>
          </cell>
          <cell r="AI13">
            <v>39356</v>
          </cell>
        </row>
        <row r="14">
          <cell r="A14" t="str">
            <v>200700653</v>
          </cell>
          <cell r="B14" t="str">
            <v>Electric Distribution</v>
          </cell>
          <cell r="C14" t="str">
            <v>NM</v>
          </cell>
          <cell r="D14" t="str">
            <v/>
          </cell>
          <cell r="E14" t="str">
            <v/>
          </cell>
          <cell r="F14" t="str">
            <v>NEWMAN BARRY M</v>
          </cell>
          <cell r="G14" t="str">
            <v>1650</v>
          </cell>
          <cell r="H14" t="str">
            <v>Bellmawr Sub</v>
          </cell>
          <cell r="I14" t="str">
            <v>00017464</v>
          </cell>
          <cell r="J14" t="str">
            <v>11:00:00</v>
          </cell>
          <cell r="K14" t="str">
            <v>17</v>
          </cell>
          <cell r="L14" t="str">
            <v>Dig In 4kv</v>
          </cell>
          <cell r="M14" t="str">
            <v/>
          </cell>
          <cell r="N14" t="str">
            <v/>
          </cell>
          <cell r="O14" t="str">
            <v>None</v>
          </cell>
          <cell r="P14" t="str">
            <v>00005310</v>
          </cell>
          <cell r="Q14" t="str">
            <v>LAWRENCE M GRESS</v>
          </cell>
          <cell r="R14" t="str">
            <v>00005310</v>
          </cell>
          <cell r="S14" t="str">
            <v/>
          </cell>
          <cell r="T14" t="str">
            <v>LAWRENCE M GRESS</v>
          </cell>
          <cell r="U14" t="str">
            <v>CMTMS</v>
          </cell>
          <cell r="V14" t="str">
            <v>Bellmawr Sub</v>
          </cell>
          <cell r="W14" t="str">
            <v>0002</v>
          </cell>
          <cell r="X14" t="str">
            <v/>
          </cell>
          <cell r="Y14" t="str">
            <v/>
          </cell>
          <cell r="Z14" t="str">
            <v/>
          </cell>
          <cell r="AA14" t="str">
            <v/>
          </cell>
          <cell r="AB14" t="str">
            <v>None</v>
          </cell>
          <cell r="AC14" t="str">
            <v/>
          </cell>
          <cell r="AD14" t="str">
            <v/>
          </cell>
          <cell r="AE14" t="str">
            <v>PSEG INTERNAL USE ONLY_x000D_
INCIDENT ALERT SYSTEM_x000D_
ID# 200700653_x000D_
_x000D_
_x000D_
Type:</v>
          </cell>
          <cell r="AF14" t="str">
            <v/>
          </cell>
          <cell r="AG14">
            <v>1</v>
          </cell>
          <cell r="AH14">
            <v>39350</v>
          </cell>
          <cell r="AI14">
            <v>39356</v>
          </cell>
        </row>
        <row r="15">
          <cell r="A15" t="str">
            <v>200700623</v>
          </cell>
          <cell r="B15" t="str">
            <v>Electric Distribution</v>
          </cell>
          <cell r="C15" t="str">
            <v>OR</v>
          </cell>
          <cell r="D15" t="str">
            <v/>
          </cell>
          <cell r="E15" t="str">
            <v>RT</v>
          </cell>
          <cell r="F15" t="str">
            <v>ZAKRZEWSKI ANTHONY L</v>
          </cell>
          <cell r="G15" t="str">
            <v>1710</v>
          </cell>
          <cell r="H15" t="str">
            <v>Hackensack Sub</v>
          </cell>
          <cell r="I15" t="str">
            <v>00110111</v>
          </cell>
          <cell r="J15" t="str">
            <v>08:30:00</v>
          </cell>
          <cell r="K15" t="str">
            <v>03</v>
          </cell>
          <cell r="L15" t="str">
            <v>Overexertion - Physical (e.g. Improper Lifting or</v>
          </cell>
          <cell r="M15" t="str">
            <v>Strain and/or Sprain</v>
          </cell>
          <cell r="N15" t="str">
            <v>multiple-back,neck and shoulder</v>
          </cell>
          <cell r="O15" t="str">
            <v>improper lifting</v>
          </cell>
          <cell r="P15" t="str">
            <v>00005110</v>
          </cell>
          <cell r="Q15" t="str">
            <v>MICHAEL L HAMMETT</v>
          </cell>
          <cell r="R15" t="str">
            <v>00005110</v>
          </cell>
          <cell r="S15" t="str">
            <v/>
          </cell>
          <cell r="T15" t="str">
            <v>MICHAEL L HAMMETT</v>
          </cell>
          <cell r="U15" t="str">
            <v>TDH0S</v>
          </cell>
          <cell r="V15" t="str">
            <v>Hackensack Sub</v>
          </cell>
          <cell r="W15" t="str">
            <v>0006</v>
          </cell>
          <cell r="X15" t="str">
            <v>heat treatment with a pain killer</v>
          </cell>
          <cell r="Y15" t="str">
            <v/>
          </cell>
          <cell r="Z15" t="str">
            <v>X</v>
          </cell>
          <cell r="AA15" t="str">
            <v/>
          </cell>
          <cell r="AB15" t="str">
            <v>Improper Body Movement Such as Twisting or Bending</v>
          </cell>
          <cell r="AC15" t="str">
            <v/>
          </cell>
          <cell r="AD15" t="str">
            <v/>
          </cell>
          <cell r="AE15" t="str">
            <v>Employee was clearing off the back of a line truck at the subheadquarter</v>
          </cell>
          <cell r="AF15" t="str">
            <v/>
          </cell>
          <cell r="AG15">
            <v>1</v>
          </cell>
          <cell r="AH15">
            <v>39336</v>
          </cell>
          <cell r="AI15">
            <v>39342</v>
          </cell>
        </row>
        <row r="16">
          <cell r="A16" t="str">
            <v>200700636</v>
          </cell>
          <cell r="B16" t="str">
            <v>Electric Distribution</v>
          </cell>
          <cell r="C16" t="str">
            <v>OR</v>
          </cell>
          <cell r="D16" t="str">
            <v/>
          </cell>
          <cell r="E16" t="str">
            <v>RG</v>
          </cell>
          <cell r="F16" t="str">
            <v>LANG KENNETH F</v>
          </cell>
          <cell r="G16" t="str">
            <v>1710</v>
          </cell>
          <cell r="H16" t="str">
            <v>Secaucus Hdqtrs</v>
          </cell>
          <cell r="I16" t="str">
            <v>00114334</v>
          </cell>
          <cell r="J16" t="str">
            <v>10:30:00</v>
          </cell>
          <cell r="K16" t="str">
            <v>00</v>
          </cell>
          <cell r="L16" t="str">
            <v>Struck by Tool or Part of Tool/Equipment</v>
          </cell>
          <cell r="M16" t="str">
            <v>Laceration / Cut</v>
          </cell>
          <cell r="N16" t="str">
            <v>Ear</v>
          </cell>
          <cell r="O16" t="str">
            <v>None</v>
          </cell>
          <cell r="P16" t="str">
            <v>00007454</v>
          </cell>
          <cell r="Q16" t="str">
            <v>ANDREW MONOCKY</v>
          </cell>
          <cell r="R16" t="str">
            <v>00007454</v>
          </cell>
          <cell r="S16" t="str">
            <v/>
          </cell>
          <cell r="T16" t="str">
            <v>ANDREW MONOCKY</v>
          </cell>
          <cell r="U16" t="str">
            <v>TDLKW</v>
          </cell>
          <cell r="V16" t="str">
            <v>Secaucus Hdqtrs</v>
          </cell>
          <cell r="W16" t="str">
            <v>0006</v>
          </cell>
          <cell r="X16" t="str">
            <v>Ear laceration no sutures required</v>
          </cell>
          <cell r="Y16" t="str">
            <v/>
          </cell>
          <cell r="Z16" t="str">
            <v>X</v>
          </cell>
          <cell r="AA16" t="str">
            <v/>
          </cell>
          <cell r="AB16" t="str">
            <v/>
          </cell>
          <cell r="AC16" t="str">
            <v/>
          </cell>
          <cell r="AD16" t="str">
            <v/>
          </cell>
          <cell r="AE16" t="str">
            <v>Associate was practicing pole top rescue at the Edison Training Center u</v>
          </cell>
          <cell r="AF16" t="str">
            <v/>
          </cell>
          <cell r="AG16">
            <v>1</v>
          </cell>
          <cell r="AH16">
            <v>39346</v>
          </cell>
          <cell r="AI16">
            <v>39349</v>
          </cell>
        </row>
        <row r="17">
          <cell r="A17" t="str">
            <v>200700657</v>
          </cell>
          <cell r="B17" t="str">
            <v>Electric Distribution</v>
          </cell>
          <cell r="C17" t="str">
            <v>OR</v>
          </cell>
          <cell r="D17" t="str">
            <v/>
          </cell>
          <cell r="E17" t="str">
            <v>RG</v>
          </cell>
          <cell r="F17" t="str">
            <v>DOATCH WILLIAM</v>
          </cell>
          <cell r="G17" t="str">
            <v>1650</v>
          </cell>
          <cell r="H17" t="str">
            <v>Lawrenceville</v>
          </cell>
          <cell r="I17" t="str">
            <v>00004106</v>
          </cell>
          <cell r="J17" t="str">
            <v>10:00:00</v>
          </cell>
          <cell r="K17" t="str">
            <v>30</v>
          </cell>
          <cell r="L17" t="str">
            <v>Struck by Tool or Part of Tool/Equipment</v>
          </cell>
          <cell r="M17" t="str">
            <v>Laceration / Cut</v>
          </cell>
          <cell r="N17" t="str">
            <v>Hand</v>
          </cell>
          <cell r="O17" t="str">
            <v>None</v>
          </cell>
          <cell r="P17" t="str">
            <v>00005309</v>
          </cell>
          <cell r="Q17" t="str">
            <v>DAVID E EVANS</v>
          </cell>
          <cell r="R17" t="str">
            <v>00005309</v>
          </cell>
          <cell r="S17" t="str">
            <v>CMTMS</v>
          </cell>
          <cell r="T17" t="str">
            <v>DAVID E EVANS</v>
          </cell>
          <cell r="U17" t="str">
            <v>CMTMS</v>
          </cell>
          <cell r="V17" t="str">
            <v>Lawrenceville</v>
          </cell>
          <cell r="W17" t="str">
            <v>0007</v>
          </cell>
          <cell r="X17" t="str">
            <v>6 stitches to close f/u visit friday</v>
          </cell>
          <cell r="Y17" t="str">
            <v/>
          </cell>
          <cell r="Z17" t="str">
            <v>X</v>
          </cell>
          <cell r="AA17" t="str">
            <v/>
          </cell>
          <cell r="AB17" t="str">
            <v>None</v>
          </cell>
          <cell r="AC17" t="str">
            <v/>
          </cell>
          <cell r="AD17" t="str">
            <v/>
          </cell>
          <cell r="AE17" t="str">
            <v>I just spoke to Trenton Switch upgraded mechanical supervisor Ed Chase a</v>
          </cell>
          <cell r="AF17" t="str">
            <v/>
          </cell>
          <cell r="AG17">
            <v>1</v>
          </cell>
          <cell r="AH17">
            <v>39358</v>
          </cell>
          <cell r="AI17">
            <v>39358</v>
          </cell>
        </row>
        <row r="18">
          <cell r="A18" t="str">
            <v>200700582</v>
          </cell>
          <cell r="B18" t="str">
            <v>Electric Distribution</v>
          </cell>
          <cell r="C18" t="str">
            <v>RP</v>
          </cell>
          <cell r="D18" t="str">
            <v/>
          </cell>
          <cell r="E18" t="str">
            <v>RG</v>
          </cell>
          <cell r="F18" t="str">
            <v>COLEMAN LOUIS S</v>
          </cell>
          <cell r="G18" t="str">
            <v>1650</v>
          </cell>
          <cell r="H18" t="str">
            <v>Moorestown Sub</v>
          </cell>
          <cell r="I18" t="str">
            <v>00015741</v>
          </cell>
          <cell r="J18" t="str">
            <v>07:15:00</v>
          </cell>
          <cell r="K18" t="str">
            <v>18</v>
          </cell>
          <cell r="L18" t="str">
            <v>Cut By</v>
          </cell>
          <cell r="M18" t="str">
            <v>Laceration / Cut</v>
          </cell>
          <cell r="N18" t="str">
            <v>Finger</v>
          </cell>
          <cell r="O18" t="str">
            <v>None</v>
          </cell>
          <cell r="P18" t="str">
            <v>00006454</v>
          </cell>
          <cell r="Q18" t="str">
            <v>JOSEPH B GAINES</v>
          </cell>
          <cell r="R18" t="str">
            <v>00006454</v>
          </cell>
          <cell r="S18" t="str">
            <v>CMTMS</v>
          </cell>
          <cell r="T18" t="str">
            <v>JOSEPH B GAINES</v>
          </cell>
          <cell r="U18" t="str">
            <v>CMTMS</v>
          </cell>
          <cell r="V18" t="str">
            <v>Moorestown Sub</v>
          </cell>
          <cell r="W18" t="str">
            <v>0007</v>
          </cell>
          <cell r="X18" t="str">
            <v>An associate was cutting a piece of wood on a table saw when his finger</v>
          </cell>
          <cell r="Y18" t="str">
            <v/>
          </cell>
          <cell r="Z18" t="str">
            <v>X</v>
          </cell>
          <cell r="AA18" t="str">
            <v>Percocet</v>
          </cell>
          <cell r="AB18" t="str">
            <v>Tools - Improper Use</v>
          </cell>
          <cell r="AC18" t="str">
            <v/>
          </cell>
          <cell r="AD18" t="str">
            <v/>
          </cell>
          <cell r="AE18" t="str">
            <v>An associate was cutting a piece of wood on a table saw when his finger</v>
          </cell>
          <cell r="AF18" t="str">
            <v/>
          </cell>
          <cell r="AG18">
            <v>1</v>
          </cell>
          <cell r="AH18">
            <v>39323</v>
          </cell>
          <cell r="AI18">
            <v>39329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cell r="B8" t="str">
            <v>L</v>
          </cell>
          <cell r="C8">
            <v>20.54</v>
          </cell>
          <cell r="D8">
            <v>10.26</v>
          </cell>
          <cell r="E8" t="str">
            <v>ê</v>
          </cell>
          <cell r="F8">
            <v>14.69</v>
          </cell>
          <cell r="G8">
            <v>5.15</v>
          </cell>
          <cell r="H8">
            <v>7.96</v>
          </cell>
          <cell r="I8">
            <v>23.87</v>
          </cell>
          <cell r="J8">
            <v>0</v>
          </cell>
          <cell r="K8">
            <v>0</v>
          </cell>
          <cell r="M8" t="str">
            <v>OSHA Days Away Rate (Severity)</v>
          </cell>
          <cell r="N8" t="str">
            <v>L</v>
          </cell>
          <cell r="O8">
            <v>88.69</v>
          </cell>
          <cell r="P8">
            <v>10.26</v>
          </cell>
          <cell r="Q8" t="str">
            <v>+</v>
          </cell>
          <cell r="R8">
            <v>20.46</v>
          </cell>
          <cell r="S8">
            <v>12.54</v>
          </cell>
          <cell r="T8">
            <v>0</v>
          </cell>
          <cell r="U8">
            <v>0</v>
          </cell>
          <cell r="V8">
            <v>0</v>
          </cell>
          <cell r="W8">
            <v>0</v>
          </cell>
        </row>
        <row r="9">
          <cell r="A9" t="str">
            <v>Motor Vehicle Accident Rate</v>
          </cell>
          <cell r="B9" t="str">
            <v>L</v>
          </cell>
          <cell r="C9">
            <v>4.51</v>
          </cell>
          <cell r="D9">
            <v>3.87</v>
          </cell>
          <cell r="E9" t="str">
            <v>ê</v>
          </cell>
          <cell r="F9">
            <v>4.6399999999999997</v>
          </cell>
          <cell r="G9">
            <v>4.2</v>
          </cell>
          <cell r="H9">
            <v>6.05</v>
          </cell>
          <cell r="I9">
            <v>4.12</v>
          </cell>
          <cell r="J9">
            <v>7.54</v>
          </cell>
          <cell r="K9">
            <v>3.34</v>
          </cell>
          <cell r="M9" t="str">
            <v>Motor Vehicle Accident Rate</v>
          </cell>
          <cell r="N9" t="str">
            <v>L</v>
          </cell>
          <cell r="O9">
            <v>9.2899999999999991</v>
          </cell>
          <cell r="P9">
            <v>3.87</v>
          </cell>
          <cell r="Q9" t="str">
            <v>-</v>
          </cell>
          <cell r="R9">
            <v>6.22</v>
          </cell>
          <cell r="S9">
            <v>3.72</v>
          </cell>
          <cell r="T9">
            <v>15.13</v>
          </cell>
          <cell r="U9">
            <v>4.04</v>
          </cell>
          <cell r="V9">
            <v>0</v>
          </cell>
          <cell r="W9">
            <v>0</v>
          </cell>
        </row>
        <row r="10">
          <cell r="A10" t="str">
            <v>Staffing Levels - Permanent</v>
          </cell>
          <cell r="B10" t="str">
            <v>L</v>
          </cell>
          <cell r="C10">
            <v>2056</v>
          </cell>
          <cell r="D10">
            <v>2090</v>
          </cell>
          <cell r="E10" t="str">
            <v>é</v>
          </cell>
          <cell r="F10">
            <v>1973</v>
          </cell>
          <cell r="G10">
            <v>644</v>
          </cell>
          <cell r="H10">
            <v>481</v>
          </cell>
          <cell r="I10">
            <v>709</v>
          </cell>
          <cell r="J10">
            <v>66</v>
          </cell>
          <cell r="K10">
            <v>73</v>
          </cell>
          <cell r="M10" t="str">
            <v>Staffing Levels - Permanent</v>
          </cell>
          <cell r="N10" t="str">
            <v>L</v>
          </cell>
          <cell r="O10">
            <v>2056</v>
          </cell>
          <cell r="P10">
            <v>2090</v>
          </cell>
          <cell r="Q10" t="str">
            <v>+</v>
          </cell>
          <cell r="R10">
            <v>1973</v>
          </cell>
          <cell r="S10">
            <v>644</v>
          </cell>
          <cell r="T10">
            <v>481</v>
          </cell>
          <cell r="U10">
            <v>709</v>
          </cell>
          <cell r="V10">
            <v>66</v>
          </cell>
          <cell r="W10">
            <v>73</v>
          </cell>
        </row>
        <row r="11">
          <cell r="A11" t="str">
            <v>Availability - Illness</v>
          </cell>
          <cell r="B11" t="str">
            <v>H</v>
          </cell>
          <cell r="C11">
            <v>0.96799999999999997</v>
          </cell>
          <cell r="D11">
            <v>0.97299999999999998</v>
          </cell>
          <cell r="E11" t="str">
            <v>ê</v>
          </cell>
          <cell r="F11">
            <v>0.97099999999999997</v>
          </cell>
          <cell r="G11">
            <v>0.97099999999999997</v>
          </cell>
          <cell r="H11">
            <v>0.96499999999999997</v>
          </cell>
          <cell r="I11">
            <v>0.97299999999999998</v>
          </cell>
          <cell r="J11">
            <v>0.97799999999999998</v>
          </cell>
          <cell r="K11">
            <v>0.97499999999999998</v>
          </cell>
          <cell r="M11" t="str">
            <v>Availability - Illness</v>
          </cell>
          <cell r="N11" t="str">
            <v>H</v>
          </cell>
          <cell r="O11">
            <v>0.96599999999999997</v>
          </cell>
          <cell r="P11">
            <v>0.97299999999999998</v>
          </cell>
          <cell r="Q11" t="str">
            <v>-</v>
          </cell>
          <cell r="R11">
            <v>0.96599999999999997</v>
          </cell>
          <cell r="S11">
            <v>0.96799999999999997</v>
          </cell>
          <cell r="T11">
            <v>0.96199999999999997</v>
          </cell>
          <cell r="U11">
            <v>0.96899999999999997</v>
          </cell>
          <cell r="V11">
            <v>0.95799999999999996</v>
          </cell>
          <cell r="W11">
            <v>0.95799999999999996</v>
          </cell>
        </row>
        <row r="12">
          <cell r="A12" t="str">
            <v>Overtime</v>
          </cell>
          <cell r="B12" t="str">
            <v>L</v>
          </cell>
          <cell r="C12">
            <v>0.17130000000000001</v>
          </cell>
          <cell r="D12">
            <v>0.17399999999999999</v>
          </cell>
          <cell r="E12" t="str">
            <v>ê</v>
          </cell>
          <cell r="F12">
            <v>0.22411426770211618</v>
          </cell>
          <cell r="G12">
            <v>0.23264908683282473</v>
          </cell>
          <cell r="H12">
            <v>0.2547469854111904</v>
          </cell>
          <cell r="I12">
            <v>0.22546662928562045</v>
          </cell>
          <cell r="J12">
            <v>6.6623957196663031E-2</v>
          </cell>
          <cell r="K12">
            <v>4.8780117969946475E-2</v>
          </cell>
          <cell r="M12" t="str">
            <v>Overtime</v>
          </cell>
          <cell r="N12" t="str">
            <v>L</v>
          </cell>
          <cell r="O12">
            <v>0.28289999999999998</v>
          </cell>
          <cell r="P12">
            <v>0.1825</v>
          </cell>
          <cell r="Q12" t="str">
            <v>-</v>
          </cell>
          <cell r="R12">
            <v>0.28012383601794538</v>
          </cell>
          <cell r="S12">
            <v>0.29808390805514412</v>
          </cell>
          <cell r="T12">
            <v>0.3387888640543153</v>
          </cell>
          <cell r="U12">
            <v>0.26475948368407248</v>
          </cell>
          <cell r="V12">
            <v>7.7790535553186255E-2</v>
          </cell>
          <cell r="W12">
            <v>5.4140478553313484E-2</v>
          </cell>
        </row>
        <row r="13">
          <cell r="A13" t="str">
            <v>Corporate Culture for Ethics &amp; Compliance</v>
          </cell>
          <cell r="B13" t="str">
            <v>H</v>
          </cell>
          <cell r="C13">
            <v>5.01</v>
          </cell>
          <cell r="D13">
            <v>5.43</v>
          </cell>
          <cell r="E13" t="str">
            <v>ê</v>
          </cell>
          <cell r="F13">
            <v>4.83</v>
          </cell>
        </row>
        <row r="14">
          <cell r="A14" t="str">
            <v>Employee Development - MAST</v>
          </cell>
          <cell r="B14" t="str">
            <v>H</v>
          </cell>
          <cell r="C14">
            <v>0.98199999999999998</v>
          </cell>
          <cell r="D14">
            <v>0.97</v>
          </cell>
          <cell r="E14" t="str">
            <v>é</v>
          </cell>
          <cell r="F14">
            <v>0.98799999999999999</v>
          </cell>
          <cell r="G14">
            <v>1</v>
          </cell>
          <cell r="H14">
            <v>0.98</v>
          </cell>
          <cell r="I14">
            <v>1</v>
          </cell>
          <cell r="J14">
            <v>0.99</v>
          </cell>
          <cell r="K14">
            <v>0.98</v>
          </cell>
        </row>
        <row r="16">
          <cell r="A16" t="str">
            <v>SAFE and RELIABLE</v>
          </cell>
          <cell r="B16" t="str">
            <v>L/H</v>
          </cell>
          <cell r="C16" t="str">
            <v>Dec 09 YTD</v>
          </cell>
          <cell r="D16" t="str">
            <v>2010 Target</v>
          </cell>
          <cell r="E16" t="str">
            <v>YE Forecast</v>
          </cell>
          <cell r="F16" t="str">
            <v>Gas Delivery</v>
          </cell>
          <cell r="G16" t="str">
            <v>Northern</v>
          </cell>
          <cell r="H16" t="str">
            <v>Central</v>
          </cell>
          <cell r="I16" t="str">
            <v>Southern</v>
          </cell>
          <cell r="J16" t="str">
            <v>GSOC M&amp;R</v>
          </cell>
          <cell r="K16" t="str">
            <v>VP &amp; Support</v>
          </cell>
          <cell r="M16" t="str">
            <v>SAFE and RELIABLE</v>
          </cell>
          <cell r="N16" t="str">
            <v>L/H</v>
          </cell>
          <cell r="O16" t="str">
            <v>Dec 09</v>
          </cell>
          <cell r="P16" t="str">
            <v>2010 Target</v>
          </cell>
          <cell r="Q16" t="str">
            <v>Monthly Status</v>
          </cell>
          <cell r="R16" t="str">
            <v>Gas Delivery</v>
          </cell>
          <cell r="S16" t="str">
            <v>Northern</v>
          </cell>
          <cell r="T16" t="str">
            <v>Central</v>
          </cell>
          <cell r="U16" t="str">
            <v>Southern</v>
          </cell>
          <cell r="V16" t="str">
            <v>GSOC M&amp;R</v>
          </cell>
          <cell r="W16" t="str">
            <v>VP &amp; Support</v>
          </cell>
        </row>
        <row r="17">
          <cell r="A17" t="str">
            <v>Gas Leak Reports Per Mile</v>
          </cell>
          <cell r="B17" t="str">
            <v>L</v>
          </cell>
          <cell r="C17">
            <v>0.20100000000000001</v>
          </cell>
          <cell r="D17">
            <v>0.21</v>
          </cell>
          <cell r="E17" t="str">
            <v>é</v>
          </cell>
          <cell r="F17">
            <v>0.20899999999999999</v>
          </cell>
          <cell r="G17">
            <v>0.246</v>
          </cell>
          <cell r="H17">
            <v>0.23799999999999999</v>
          </cell>
          <cell r="I17">
            <v>0.17199999999999999</v>
          </cell>
          <cell r="M17" t="str">
            <v>Gas Leak Reports Per Mile</v>
          </cell>
          <cell r="N17" t="str">
            <v>L</v>
          </cell>
          <cell r="O17">
            <v>1.2E-2</v>
          </cell>
          <cell r="P17">
            <v>0.21</v>
          </cell>
          <cell r="Q17" t="str">
            <v>+</v>
          </cell>
          <cell r="R17">
            <v>1.7999999999999999E-2</v>
          </cell>
          <cell r="S17">
            <v>1.9E-2</v>
          </cell>
          <cell r="T17">
            <v>1.7999999999999999E-2</v>
          </cell>
          <cell r="U17">
            <v>1.7000000000000001E-2</v>
          </cell>
        </row>
        <row r="18">
          <cell r="A18" t="str">
            <v>Leak Response Rate</v>
          </cell>
          <cell r="B18" t="str">
            <v>H</v>
          </cell>
          <cell r="C18">
            <v>0.998</v>
          </cell>
          <cell r="D18">
            <v>0.999</v>
          </cell>
          <cell r="E18" t="str">
            <v>é</v>
          </cell>
          <cell r="F18">
            <v>0.999</v>
          </cell>
          <cell r="G18">
            <v>0.999</v>
          </cell>
          <cell r="H18">
            <v>0.998</v>
          </cell>
          <cell r="I18">
            <v>0.999</v>
          </cell>
          <cell r="M18" t="str">
            <v>Leak Response Rate</v>
          </cell>
          <cell r="N18" t="str">
            <v>H</v>
          </cell>
          <cell r="O18">
            <v>0.998</v>
          </cell>
          <cell r="P18">
            <v>0.999</v>
          </cell>
          <cell r="Q18" t="str">
            <v>-</v>
          </cell>
          <cell r="R18">
            <v>0.996</v>
          </cell>
          <cell r="S18">
            <v>0.99399999999999999</v>
          </cell>
          <cell r="T18">
            <v>0.99399999999999999</v>
          </cell>
          <cell r="U18">
            <v>0.998</v>
          </cell>
        </row>
        <row r="19">
          <cell r="A19" t="str">
            <v>Appointments Kept</v>
          </cell>
          <cell r="B19" t="str">
            <v>H</v>
          </cell>
          <cell r="C19" t="str">
            <v>Nov 08 YTD</v>
          </cell>
          <cell r="D19">
            <v>0.92</v>
          </cell>
          <cell r="E19" t="str">
            <v>ê</v>
          </cell>
          <cell r="F19">
            <v>0.89300000000000002</v>
          </cell>
          <cell r="G19">
            <v>0.90100000000000002</v>
          </cell>
          <cell r="H19">
            <v>0.86799999999999999</v>
          </cell>
          <cell r="I19">
            <v>0.89900000000000002</v>
          </cell>
          <cell r="J19" t="str">
            <v>GSOC M&amp;R</v>
          </cell>
          <cell r="K19" t="str">
            <v>VP &amp; Support</v>
          </cell>
          <cell r="M19" t="str">
            <v>Appointment Kept</v>
          </cell>
          <cell r="N19" t="str">
            <v>H</v>
          </cell>
          <cell r="O19" t="str">
            <v>Nov 08</v>
          </cell>
          <cell r="P19">
            <v>0.92</v>
          </cell>
          <cell r="Q19" t="str">
            <v>-</v>
          </cell>
          <cell r="R19">
            <v>0.87</v>
          </cell>
          <cell r="S19">
            <v>0.88700000000000001</v>
          </cell>
          <cell r="T19">
            <v>0.84199999999999997</v>
          </cell>
          <cell r="U19">
            <v>0.871</v>
          </cell>
          <cell r="V19" t="str">
            <v>GSOC M&amp;R</v>
          </cell>
          <cell r="W19" t="str">
            <v>VP &amp; Support</v>
          </cell>
        </row>
        <row r="20">
          <cell r="A20" t="str">
            <v>BPU Inquiries - Non-Collection</v>
          </cell>
          <cell r="B20" t="str">
            <v>L</v>
          </cell>
          <cell r="C20">
            <v>204</v>
          </cell>
          <cell r="D20">
            <v>140</v>
          </cell>
          <cell r="E20" t="str">
            <v>ê</v>
          </cell>
          <cell r="F20">
            <v>172</v>
          </cell>
          <cell r="G20">
            <v>65</v>
          </cell>
          <cell r="H20">
            <v>51</v>
          </cell>
          <cell r="I20">
            <v>54</v>
          </cell>
          <cell r="M20" t="str">
            <v>BPU Inquiries - Non-Collection</v>
          </cell>
          <cell r="N20" t="str">
            <v>L</v>
          </cell>
          <cell r="O20">
            <v>32</v>
          </cell>
          <cell r="P20">
            <v>3</v>
          </cell>
          <cell r="Q20" t="str">
            <v>-</v>
          </cell>
          <cell r="R20">
            <v>28</v>
          </cell>
          <cell r="S20">
            <v>7</v>
          </cell>
          <cell r="T20">
            <v>8</v>
          </cell>
          <cell r="U20">
            <v>13</v>
          </cell>
        </row>
        <row r="21">
          <cell r="A21" t="str">
            <v>Perception Survey (Residential)</v>
          </cell>
          <cell r="B21" t="str">
            <v>H</v>
          </cell>
          <cell r="C21">
            <v>74</v>
          </cell>
          <cell r="D21">
            <v>76</v>
          </cell>
          <cell r="E21" t="str">
            <v>é</v>
          </cell>
          <cell r="F21">
            <v>76</v>
          </cell>
          <cell r="G21">
            <v>74</v>
          </cell>
          <cell r="H21">
            <v>77</v>
          </cell>
          <cell r="I21">
            <v>76</v>
          </cell>
          <cell r="M21" t="str">
            <v>Perception Survey (Res/Sm Business)</v>
          </cell>
          <cell r="N21" t="str">
            <v>H</v>
          </cell>
          <cell r="O21">
            <v>73</v>
          </cell>
          <cell r="P21">
            <v>76</v>
          </cell>
          <cell r="Q21" t="str">
            <v>o</v>
          </cell>
          <cell r="R21">
            <v>76</v>
          </cell>
          <cell r="S21">
            <v>0.999</v>
          </cell>
          <cell r="T21">
            <v>0.996</v>
          </cell>
          <cell r="U21">
            <v>0.999</v>
          </cell>
        </row>
        <row r="22">
          <cell r="A22" t="str">
            <v>Moment of Truth Survey</v>
          </cell>
          <cell r="B22" t="str">
            <v>H</v>
          </cell>
          <cell r="C22">
            <v>9.1</v>
          </cell>
          <cell r="D22">
            <v>9.3000000000000007</v>
          </cell>
          <cell r="E22" t="str">
            <v>ê</v>
          </cell>
          <cell r="F22">
            <v>9.1</v>
          </cell>
          <cell r="G22">
            <v>9.1</v>
          </cell>
          <cell r="H22">
            <v>8.9</v>
          </cell>
          <cell r="I22">
            <v>9.1999999999999993</v>
          </cell>
          <cell r="M22" t="str">
            <v>Moment of Truth Survey</v>
          </cell>
          <cell r="N22" t="str">
            <v>H</v>
          </cell>
          <cell r="O22">
            <v>9.1</v>
          </cell>
          <cell r="P22">
            <v>9.3000000000000007</v>
          </cell>
          <cell r="Q22" t="str">
            <v>-</v>
          </cell>
          <cell r="R22">
            <v>9</v>
          </cell>
          <cell r="S22">
            <v>9</v>
          </cell>
          <cell r="T22">
            <v>8.8000000000000007</v>
          </cell>
          <cell r="U22">
            <v>9.1</v>
          </cell>
        </row>
        <row r="23">
          <cell r="A23" t="str">
            <v>Damages Per 1,000 Locate Requests</v>
          </cell>
          <cell r="B23" t="str">
            <v>L</v>
          </cell>
          <cell r="C23">
            <v>1.48</v>
          </cell>
          <cell r="D23">
            <v>1.5</v>
          </cell>
          <cell r="E23" t="str">
            <v>ê</v>
          </cell>
          <cell r="F23">
            <v>1.69</v>
          </cell>
          <cell r="G23">
            <v>1.55</v>
          </cell>
          <cell r="H23">
            <v>2.5499999999999998</v>
          </cell>
          <cell r="I23">
            <v>1.69</v>
          </cell>
          <cell r="M23" t="str">
            <v>Damages Per 1,000 Locate Requests</v>
          </cell>
          <cell r="N23" t="str">
            <v>L</v>
          </cell>
          <cell r="O23">
            <v>1.31</v>
          </cell>
          <cell r="P23">
            <v>1.5</v>
          </cell>
          <cell r="Q23" t="str">
            <v>-</v>
          </cell>
          <cell r="R23">
            <v>1.67</v>
          </cell>
          <cell r="S23">
            <v>1.52</v>
          </cell>
          <cell r="T23">
            <v>2.4300000000000002</v>
          </cell>
          <cell r="U23">
            <v>1.67</v>
          </cell>
        </row>
        <row r="24">
          <cell r="A24" t="str">
            <v>Gas Damages Per 1,000 Locate Requests</v>
          </cell>
          <cell r="B24" t="str">
            <v>L</v>
          </cell>
          <cell r="C24">
            <v>2.2799999999999998</v>
          </cell>
          <cell r="D24">
            <v>2.27</v>
          </cell>
          <cell r="E24" t="str">
            <v>ê</v>
          </cell>
          <cell r="F24">
            <v>2.58</v>
          </cell>
          <cell r="G24">
            <v>2.5499999999999998</v>
          </cell>
          <cell r="H24">
            <v>3.34</v>
          </cell>
          <cell r="I24">
            <v>2.3199999999999998</v>
          </cell>
          <cell r="M24" t="str">
            <v>Gas Damages Per 1,000 Locate Requests</v>
          </cell>
          <cell r="N24" t="str">
            <v>L</v>
          </cell>
          <cell r="O24">
            <v>2.25</v>
          </cell>
          <cell r="P24">
            <v>2.27</v>
          </cell>
          <cell r="Q24" t="str">
            <v>-</v>
          </cell>
          <cell r="R24">
            <v>2.85</v>
          </cell>
          <cell r="S24">
            <v>2.62</v>
          </cell>
          <cell r="T24">
            <v>3.09</v>
          </cell>
          <cell r="U24">
            <v>2.9</v>
          </cell>
        </row>
        <row r="25">
          <cell r="A25" t="str">
            <v>Open Leaks</v>
          </cell>
          <cell r="B25" t="str">
            <v>L</v>
          </cell>
          <cell r="C25">
            <v>1558</v>
          </cell>
          <cell r="D25">
            <v>2400</v>
          </cell>
          <cell r="E25" t="str">
            <v>é</v>
          </cell>
          <cell r="F25">
            <v>2146</v>
          </cell>
          <cell r="G25">
            <v>1013</v>
          </cell>
          <cell r="H25">
            <v>388</v>
          </cell>
          <cell r="I25">
            <v>745</v>
          </cell>
          <cell r="M25" t="str">
            <v>Moment of Truth Survey</v>
          </cell>
          <cell r="N25" t="str">
            <v>H</v>
          </cell>
          <cell r="O25">
            <v>9.4</v>
          </cell>
          <cell r="P25">
            <v>9.3000000000000007</v>
          </cell>
          <cell r="Q25" t="str">
            <v>-</v>
          </cell>
          <cell r="R25">
            <v>9.1999999999999993</v>
          </cell>
        </row>
        <row r="26">
          <cell r="A26" t="str">
            <v>% Regulatory Compliance</v>
          </cell>
          <cell r="B26" t="str">
            <v>H</v>
          </cell>
          <cell r="C26">
            <v>0.97</v>
          </cell>
          <cell r="D26">
            <v>1</v>
          </cell>
          <cell r="E26" t="str">
            <v>é</v>
          </cell>
          <cell r="F26">
            <v>1.002</v>
          </cell>
          <cell r="G26">
            <v>1.0009999999999999</v>
          </cell>
          <cell r="H26">
            <v>0.996</v>
          </cell>
          <cell r="I26">
            <v>1.0049999999999999</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ECONOMIC</v>
          </cell>
          <cell r="B28" t="str">
            <v>L/H</v>
          </cell>
          <cell r="C28" t="str">
            <v>Dec 09 YTD</v>
          </cell>
          <cell r="D28" t="str">
            <v>2010 Target</v>
          </cell>
          <cell r="E28" t="str">
            <v>YE Forecast</v>
          </cell>
          <cell r="F28" t="str">
            <v>Gas Delivery</v>
          </cell>
          <cell r="G28" t="str">
            <v>Northern</v>
          </cell>
          <cell r="H28" t="str">
            <v>Central</v>
          </cell>
          <cell r="I28" t="str">
            <v>Southern</v>
          </cell>
          <cell r="J28" t="str">
            <v>GSOC M&amp;R</v>
          </cell>
          <cell r="K28" t="str">
            <v>VP &amp; Support</v>
          </cell>
          <cell r="M28" t="str">
            <v>ECONOMIC</v>
          </cell>
          <cell r="N28" t="str">
            <v>L/H</v>
          </cell>
          <cell r="O28" t="str">
            <v>Dec 09</v>
          </cell>
          <cell r="P28" t="str">
            <v>2010 Target</v>
          </cell>
          <cell r="Q28" t="str">
            <v>Monthly Status</v>
          </cell>
          <cell r="R28" t="str">
            <v>Gas Delivery</v>
          </cell>
          <cell r="S28" t="str">
            <v>Northern</v>
          </cell>
          <cell r="T28" t="str">
            <v>Central</v>
          </cell>
          <cell r="U28" t="str">
            <v>Southern</v>
          </cell>
          <cell r="V28" t="str">
            <v>GSOC M&amp;R</v>
          </cell>
          <cell r="W28" t="str">
            <v>VP &amp; Support</v>
          </cell>
        </row>
        <row r="29">
          <cell r="A29" t="str">
            <v>Total CapEx ($M)</v>
          </cell>
          <cell r="B29" t="str">
            <v>L</v>
          </cell>
          <cell r="C29">
            <v>242.07300000000001</v>
          </cell>
          <cell r="D29">
            <v>345.2</v>
          </cell>
          <cell r="E29" t="str">
            <v>é</v>
          </cell>
          <cell r="F29">
            <v>306.50299999999999</v>
          </cell>
          <cell r="G29">
            <v>112.65485833000001</v>
          </cell>
          <cell r="H29">
            <v>64.946907710000005</v>
          </cell>
          <cell r="I29">
            <v>118.32689246</v>
          </cell>
          <cell r="J29">
            <v>9.4025689999999997</v>
          </cell>
          <cell r="K29">
            <v>1.17</v>
          </cell>
          <cell r="M29" t="str">
            <v>Total CapEx ($M)</v>
          </cell>
          <cell r="N29" t="str">
            <v>L</v>
          </cell>
          <cell r="O29">
            <v>31.324999999999999</v>
          </cell>
          <cell r="P29">
            <v>34.686999999999998</v>
          </cell>
          <cell r="Q29" t="str">
            <v>+</v>
          </cell>
          <cell r="R29">
            <v>26.771000000000001</v>
          </cell>
          <cell r="S29">
            <v>8.4249891199999993</v>
          </cell>
          <cell r="T29">
            <v>6.0602761800000007</v>
          </cell>
          <cell r="U29">
            <v>11.728984799999999</v>
          </cell>
          <cell r="V29">
            <v>0.50339</v>
          </cell>
          <cell r="W29">
            <v>5.3696000000000001E-2</v>
          </cell>
        </row>
        <row r="30">
          <cell r="A30" t="str">
            <v>NJ Stimulus Earnings Contribution ($M)</v>
          </cell>
          <cell r="B30" t="str">
            <v>H</v>
          </cell>
          <cell r="C30" t="str">
            <v>N/A</v>
          </cell>
          <cell r="D30">
            <v>6.2560000000000002</v>
          </cell>
          <cell r="E30" t="str">
            <v>é</v>
          </cell>
          <cell r="F30">
            <v>6.38</v>
          </cell>
          <cell r="G30" t="str">
            <v>N/A</v>
          </cell>
          <cell r="H30" t="str">
            <v>N/A</v>
          </cell>
          <cell r="I30" t="str">
            <v>N/A</v>
          </cell>
          <cell r="M30" t="str">
            <v>NJ Stimulus Capital Spend</v>
          </cell>
          <cell r="N30" t="str">
            <v>L</v>
          </cell>
          <cell r="O30" t="str">
            <v>N/A</v>
          </cell>
          <cell r="P30">
            <v>0.90300000000000002</v>
          </cell>
          <cell r="Q30" t="str">
            <v>-</v>
          </cell>
          <cell r="R30">
            <v>0.81299999999999994</v>
          </cell>
          <cell r="S30" t="str">
            <v>N/A</v>
          </cell>
          <cell r="T30" t="str">
            <v>N/A</v>
          </cell>
          <cell r="U30" t="str">
            <v>N/A</v>
          </cell>
        </row>
        <row r="31">
          <cell r="A31" t="str">
            <v>Capital Projects' Results</v>
          </cell>
          <cell r="B31" t="str">
            <v>H</v>
          </cell>
          <cell r="C31">
            <v>0.4</v>
          </cell>
          <cell r="D31">
            <v>0.95</v>
          </cell>
          <cell r="E31" t="str">
            <v>é</v>
          </cell>
          <cell r="F31" t="str">
            <v>N/A</v>
          </cell>
          <cell r="G31">
            <v>1160</v>
          </cell>
          <cell r="H31">
            <v>349</v>
          </cell>
          <cell r="I31">
            <v>537</v>
          </cell>
          <cell r="M31" t="str">
            <v>Capital Projects' Results</v>
          </cell>
          <cell r="N31" t="str">
            <v>H</v>
          </cell>
          <cell r="O31">
            <v>0.4</v>
          </cell>
          <cell r="P31">
            <v>0.95</v>
          </cell>
          <cell r="Q31" t="str">
            <v>+</v>
          </cell>
          <cell r="R31" t="str">
            <v>N/A</v>
          </cell>
          <cell r="S31">
            <v>1160</v>
          </cell>
          <cell r="T31">
            <v>349</v>
          </cell>
          <cell r="U31">
            <v>537</v>
          </cell>
        </row>
        <row r="32">
          <cell r="A32" t="str">
            <v>Blanket Capital Results</v>
          </cell>
          <cell r="B32" t="str">
            <v>H</v>
          </cell>
          <cell r="C32">
            <v>0.2</v>
          </cell>
          <cell r="D32">
            <v>0.8</v>
          </cell>
          <cell r="E32" t="str">
            <v>é</v>
          </cell>
          <cell r="F32">
            <v>0.8</v>
          </cell>
          <cell r="G32">
            <v>509</v>
          </cell>
          <cell r="H32">
            <v>148</v>
          </cell>
          <cell r="I32">
            <v>324</v>
          </cell>
          <cell r="M32" t="str">
            <v>Blanket Capital Results</v>
          </cell>
          <cell r="N32" t="str">
            <v>H</v>
          </cell>
          <cell r="O32">
            <v>0.8</v>
          </cell>
          <cell r="P32">
            <v>0.8</v>
          </cell>
          <cell r="Q32" t="str">
            <v>+</v>
          </cell>
          <cell r="R32">
            <v>0.8</v>
          </cell>
          <cell r="S32">
            <v>509</v>
          </cell>
          <cell r="T32">
            <v>148</v>
          </cell>
          <cell r="U32">
            <v>324</v>
          </cell>
        </row>
        <row r="33">
          <cell r="A33" t="str">
            <v>Controllable O&amp;M ($M)</v>
          </cell>
          <cell r="B33" t="str">
            <v>L</v>
          </cell>
          <cell r="C33">
            <v>269.036</v>
          </cell>
          <cell r="D33">
            <v>254.137</v>
          </cell>
          <cell r="E33" t="str">
            <v>ê</v>
          </cell>
          <cell r="F33">
            <v>258.916</v>
          </cell>
          <cell r="G33">
            <v>66.663757849999996</v>
          </cell>
          <cell r="H33">
            <v>45.383032490000005</v>
          </cell>
          <cell r="I33">
            <v>73.372476340000006</v>
          </cell>
          <cell r="J33">
            <v>9.7958769300000004</v>
          </cell>
          <cell r="K33">
            <v>37.722999999999999</v>
          </cell>
          <cell r="M33" t="str">
            <v>Controllable O&amp;M ($M)</v>
          </cell>
          <cell r="N33" t="str">
            <v>L</v>
          </cell>
          <cell r="O33">
            <v>28.117000000000001</v>
          </cell>
          <cell r="P33">
            <v>23.056999999999999</v>
          </cell>
          <cell r="Q33" t="str">
            <v>-</v>
          </cell>
          <cell r="R33">
            <v>25.143999999999998</v>
          </cell>
          <cell r="S33">
            <v>7.2495437599999999</v>
          </cell>
          <cell r="T33">
            <v>4.9515319399999997</v>
          </cell>
          <cell r="U33">
            <v>7.1563601999999999</v>
          </cell>
          <cell r="V33">
            <v>0.47747115000000001</v>
          </cell>
          <cell r="W33">
            <v>3.1549999999999998</v>
          </cell>
        </row>
        <row r="34">
          <cell r="A34" t="str">
            <v>Gross Margin Competitive Serv. ($M)</v>
          </cell>
          <cell r="B34" t="str">
            <v>H</v>
          </cell>
          <cell r="C34">
            <v>56.319000000000003</v>
          </cell>
          <cell r="D34">
            <v>62.107999999999997</v>
          </cell>
          <cell r="E34" t="str">
            <v>é</v>
          </cell>
          <cell r="F34">
            <v>62.289955980000002</v>
          </cell>
          <cell r="G34">
            <v>19.927164310000002</v>
          </cell>
          <cell r="H34">
            <v>10.318283840000005</v>
          </cell>
          <cell r="I34">
            <v>27.410298580000006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Fully Loaded $/Service - New Service</v>
          </cell>
          <cell r="B36" t="str">
            <v>L</v>
          </cell>
          <cell r="C36">
            <v>5337</v>
          </cell>
          <cell r="D36">
            <v>5210</v>
          </cell>
          <cell r="E36" t="str">
            <v>é</v>
          </cell>
          <cell r="F36">
            <v>4972.5000590680374</v>
          </cell>
          <cell r="G36">
            <v>5298.0572483841179</v>
          </cell>
          <cell r="H36">
            <v>6091.3319194061505</v>
          </cell>
          <cell r="I36">
            <v>4419.4010884086438</v>
          </cell>
          <cell r="M36" t="str">
            <v>Fully Loaded $/Service - New Service</v>
          </cell>
          <cell r="N36" t="str">
            <v>L</v>
          </cell>
          <cell r="O36">
            <v>5314</v>
          </cell>
          <cell r="P36">
            <v>5249.7369802079265</v>
          </cell>
          <cell r="Q36" t="str">
            <v>-</v>
          </cell>
          <cell r="R36">
            <v>5635.1598062953999</v>
          </cell>
          <cell r="S36">
            <v>5243.4076923076927</v>
          </cell>
          <cell r="T36">
            <v>7070.3521126760561</v>
          </cell>
          <cell r="U36">
            <v>5394.7311320754716</v>
          </cell>
        </row>
        <row r="37">
          <cell r="A37" t="str">
            <v>Fully Loaded $/Unit - Repl. Main</v>
          </cell>
          <cell r="B37" t="str">
            <v>L</v>
          </cell>
          <cell r="C37">
            <v>160.76</v>
          </cell>
          <cell r="D37">
            <v>173</v>
          </cell>
          <cell r="E37" t="str">
            <v>é</v>
          </cell>
          <cell r="F37">
            <v>162.49</v>
          </cell>
          <cell r="G37">
            <v>162.06</v>
          </cell>
          <cell r="H37">
            <v>147.15</v>
          </cell>
          <cell r="I37">
            <v>170.82</v>
          </cell>
          <cell r="J37" t="str">
            <v>GSOC M&amp;R</v>
          </cell>
          <cell r="K37" t="str">
            <v>VP &amp; Support</v>
          </cell>
          <cell r="M37" t="str">
            <v>Fully Loaded $/Unit - Repl. Main</v>
          </cell>
          <cell r="N37" t="str">
            <v>L</v>
          </cell>
          <cell r="O37">
            <v>268.58999999999997</v>
          </cell>
          <cell r="P37">
            <v>173</v>
          </cell>
          <cell r="Q37" t="str">
            <v>-</v>
          </cell>
          <cell r="R37">
            <v>305.83999999999997</v>
          </cell>
          <cell r="S37">
            <v>418.71</v>
          </cell>
          <cell r="T37">
            <v>392.4</v>
          </cell>
          <cell r="U37">
            <v>248.54</v>
          </cell>
        </row>
        <row r="38">
          <cell r="A38" t="str">
            <v>Fully Loaded $/Service - Repl. Service</v>
          </cell>
          <cell r="B38" t="str">
            <v>L</v>
          </cell>
          <cell r="C38">
            <v>4656</v>
          </cell>
          <cell r="D38">
            <v>4700</v>
          </cell>
          <cell r="E38" t="str">
            <v>é</v>
          </cell>
          <cell r="F38">
            <v>4307</v>
          </cell>
          <cell r="G38">
            <v>3877</v>
          </cell>
          <cell r="H38">
            <v>4992</v>
          </cell>
          <cell r="I38">
            <v>4431</v>
          </cell>
          <cell r="M38" t="str">
            <v>Fully Loaded $/Service - Repl. Service</v>
          </cell>
          <cell r="N38" t="str">
            <v>L</v>
          </cell>
          <cell r="O38">
            <v>4096</v>
          </cell>
          <cell r="P38">
            <v>4700</v>
          </cell>
          <cell r="Q38" t="str">
            <v>-</v>
          </cell>
          <cell r="R38">
            <v>4981</v>
          </cell>
          <cell r="S38">
            <v>3913</v>
          </cell>
          <cell r="T38">
            <v>6357</v>
          </cell>
          <cell r="U38">
            <v>5755</v>
          </cell>
        </row>
        <row r="40">
          <cell r="A40" t="str">
            <v>GREEN (ENERGY)</v>
          </cell>
          <cell r="B40" t="str">
            <v>L/H</v>
          </cell>
          <cell r="C40" t="str">
            <v>Dec 09 YTD</v>
          </cell>
          <cell r="D40" t="str">
            <v>2010 Target</v>
          </cell>
          <cell r="E40" t="str">
            <v>YE Forecast</v>
          </cell>
          <cell r="F40" t="str">
            <v>Gas Delivery</v>
          </cell>
          <cell r="G40" t="str">
            <v>Northern</v>
          </cell>
          <cell r="H40" t="str">
            <v>Central</v>
          </cell>
          <cell r="I40" t="str">
            <v>Southern</v>
          </cell>
          <cell r="J40" t="str">
            <v>GSOC M&amp;R</v>
          </cell>
          <cell r="K40" t="str">
            <v>VP &amp; Support</v>
          </cell>
          <cell r="M40" t="str">
            <v>GREEN (ENERGY)</v>
          </cell>
          <cell r="N40" t="str">
            <v>L/H</v>
          </cell>
          <cell r="O40" t="str">
            <v>Dec 09</v>
          </cell>
          <cell r="P40" t="str">
            <v>2010 Target</v>
          </cell>
          <cell r="Q40" t="str">
            <v>Monthly Status</v>
          </cell>
          <cell r="R40" t="str">
            <v>Gas Delivery</v>
          </cell>
          <cell r="S40" t="str">
            <v>Northern</v>
          </cell>
          <cell r="T40" t="str">
            <v>Central</v>
          </cell>
          <cell r="U40" t="str">
            <v>Southern</v>
          </cell>
          <cell r="V40" t="str">
            <v>GSOC M&amp;R</v>
          </cell>
          <cell r="W40" t="str">
            <v>VP &amp; Support</v>
          </cell>
        </row>
        <row r="41">
          <cell r="A41" t="str">
            <v>Fleet MPG</v>
          </cell>
          <cell r="B41" t="str">
            <v>H</v>
          </cell>
          <cell r="C41">
            <v>8.9</v>
          </cell>
          <cell r="D41">
            <v>9.18</v>
          </cell>
          <cell r="E41" t="str">
            <v>é</v>
          </cell>
          <cell r="F41">
            <v>9.18</v>
          </cell>
          <cell r="M41" t="str">
            <v>Fleet MPG</v>
          </cell>
          <cell r="N41" t="str">
            <v>H</v>
          </cell>
          <cell r="O41">
            <v>7.5</v>
          </cell>
          <cell r="P41">
            <v>9.18</v>
          </cell>
          <cell r="Q41" t="str">
            <v>-</v>
          </cell>
          <cell r="R41">
            <v>8.49</v>
          </cell>
        </row>
        <row r="42">
          <cell r="A42" t="str">
            <v>% Landfill Disposal</v>
          </cell>
          <cell r="B42" t="str">
            <v>L</v>
          </cell>
          <cell r="C42">
            <v>7.9000000000000008E-3</v>
          </cell>
          <cell r="D42">
            <v>7.9699999999999997E-3</v>
          </cell>
          <cell r="E42" t="str">
            <v>é</v>
          </cell>
          <cell r="F42">
            <v>5.4999999999999997E-3</v>
          </cell>
          <cell r="G42">
            <v>6.1999999999999998E-3</v>
          </cell>
          <cell r="H42">
            <v>2.3E-3</v>
          </cell>
          <cell r="I42">
            <v>5.1999999999999998E-3</v>
          </cell>
          <cell r="J42">
            <v>0.18870000000000001</v>
          </cell>
          <cell r="K42">
            <v>0</v>
          </cell>
          <cell r="M42" t="str">
            <v>Non-Hazardous Waste</v>
          </cell>
          <cell r="N42" t="str">
            <v>H</v>
          </cell>
          <cell r="O42">
            <v>3.5999999999999999E-3</v>
          </cell>
          <cell r="P42">
            <v>7.9699999999999997E-3</v>
          </cell>
          <cell r="Q42" t="str">
            <v>+</v>
          </cell>
          <cell r="R42">
            <v>4.7000000000000002E-3</v>
          </cell>
          <cell r="S42">
            <v>5.1000000000000004E-3</v>
          </cell>
          <cell r="T42">
            <v>1.4E-3</v>
          </cell>
          <cell r="U42">
            <v>3.3E-3</v>
          </cell>
          <cell r="V42">
            <v>0.46989999999999998</v>
          </cell>
          <cell r="W42">
            <v>0</v>
          </cell>
        </row>
        <row r="43">
          <cell r="A43" t="str">
            <v>DR Control Points Added (# of Control Pts)</v>
          </cell>
          <cell r="B43" t="str">
            <v>H</v>
          </cell>
          <cell r="D43">
            <v>43330</v>
          </cell>
          <cell r="E43" t="str">
            <v>ê</v>
          </cell>
          <cell r="F43">
            <v>16722</v>
          </cell>
          <cell r="G43">
            <v>2662</v>
          </cell>
          <cell r="H43">
            <v>1180</v>
          </cell>
          <cell r="I43">
            <v>12880</v>
          </cell>
          <cell r="M43" t="str">
            <v>DR Control Points Added (# of Control Pts)</v>
          </cell>
          <cell r="N43" t="str">
            <v>H</v>
          </cell>
          <cell r="Q43" t="str">
            <v>+</v>
          </cell>
          <cell r="R43">
            <v>531</v>
          </cell>
          <cell r="S43">
            <v>124</v>
          </cell>
          <cell r="T43">
            <v>1</v>
          </cell>
          <cell r="U43">
            <v>406</v>
          </cell>
        </row>
        <row r="44">
          <cell r="A44" t="str">
            <v>Cost / DR Control Point Added</v>
          </cell>
          <cell r="B44" t="str">
            <v>L</v>
          </cell>
          <cell r="D44">
            <v>298.24</v>
          </cell>
          <cell r="E44" t="str">
            <v>é</v>
          </cell>
          <cell r="F44">
            <v>231.6</v>
          </cell>
          <cell r="G44">
            <v>231.6</v>
          </cell>
          <cell r="H44">
            <v>231.6</v>
          </cell>
          <cell r="I44">
            <v>231.6</v>
          </cell>
          <cell r="M44" t="str">
            <v>Cost / DR Control Point Added</v>
          </cell>
          <cell r="N44" t="str">
            <v>L</v>
          </cell>
          <cell r="P44">
            <v>298.24</v>
          </cell>
          <cell r="Q44" t="str">
            <v>-</v>
          </cell>
          <cell r="R44">
            <v>447.32</v>
          </cell>
          <cell r="S44">
            <v>447.32</v>
          </cell>
          <cell r="T44">
            <v>447.32</v>
          </cell>
          <cell r="U44">
            <v>447.32</v>
          </cell>
        </row>
        <row r="46">
          <cell r="A46" t="str">
            <v>On Track to Meet Target   é   Meeting Target at Risk   çè    Not Expected to Meet Target   ê</v>
          </cell>
          <cell r="O46" t="str">
            <v>LEGEND- Monthly Status: +  = Better than Plan, o  = On Plan, -  = Worse than Plan</v>
          </cell>
        </row>
        <row r="52">
          <cell r="A52" t="str">
            <v>Fix It Right</v>
          </cell>
          <cell r="C52">
            <v>0.86399999999999999</v>
          </cell>
          <cell r="F52">
            <v>0.83599999999999997</v>
          </cell>
          <cell r="R52">
            <v>0.84899999999999998</v>
          </cell>
        </row>
        <row r="53">
          <cell r="E53" t="str">
            <v>çè</v>
          </cell>
        </row>
        <row r="54">
          <cell r="E54" t="str">
            <v>é</v>
          </cell>
        </row>
        <row r="55">
          <cell r="E55" t="str">
            <v>ê</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EconomicSummary"/>
      <sheetName val="EconomicMenu"/>
      <sheetName val="IndexEconomicMenu"/>
      <sheetName val="Reporting_Period"/>
      <sheetName val="CapEx_Month"/>
      <sheetName val="O&amp;M_Month"/>
      <sheetName val="ControlO&amp;M_Month"/>
      <sheetName val="Net Write Off_Month"/>
      <sheetName val="DSO_month"/>
      <sheetName val="Cap_Performance_Month"/>
      <sheetName val="ROIC_Month"/>
      <sheetName val="FFO"/>
      <sheetName val="SolarLoan"/>
      <sheetName val="Prod_Measure"/>
      <sheetName val="ProjectsResults"/>
      <sheetName val="Data_CapEx"/>
      <sheetName val="Data_O&amp;M"/>
      <sheetName val="Data_ControlO&amp;M"/>
      <sheetName val="Data_NetWriteOff"/>
      <sheetName val="Data_DSO"/>
      <sheetName val="Data_Cap_Performance"/>
      <sheetName val="Data_ROIC"/>
      <sheetName val="Data_FFO"/>
      <sheetName val="Data_SolarLoan"/>
      <sheetName val="Data_Prod_Measure"/>
      <sheetName val="Data_ProjectsResults"/>
      <sheetName val="CapEx_YTD_Qtr"/>
      <sheetName val="O&amp;M_YTD_Qtr"/>
      <sheetName val="ControlO&amp;M_Qtr_YTD"/>
      <sheetName val="Net Write Off_YTD_Qtr"/>
      <sheetName val="DSO_YTD_Qtr"/>
      <sheetName val="Cap_Performance_Qtr_YTD"/>
      <sheetName val="ROIC_Qtr_YTD"/>
      <sheetName val="FFO_YTD_Qtr"/>
      <sheetName val="SolarLoan_Qtr_YTD"/>
      <sheetName val="Prod_Measure_Qtr_YTD"/>
      <sheetName val="ProjectsResults_Qtr_YTD"/>
      <sheetName val="Economic_Metrics_Master"/>
    </sheetNames>
    <sheetDataSet>
      <sheetData sheetId="0" refreshError="1">
        <row r="41">
          <cell r="L41" t="str">
            <v>Total CapEx ($M)</v>
          </cell>
          <cell r="M41" t="str">
            <v>L</v>
          </cell>
          <cell r="N41">
            <v>63.3</v>
          </cell>
          <cell r="O41">
            <v>61.8</v>
          </cell>
          <cell r="P41" t="str">
            <v>-</v>
          </cell>
          <cell r="Q41">
            <v>97.597088000000014</v>
          </cell>
          <cell r="R41">
            <v>4.1290000000000004</v>
          </cell>
          <cell r="S41">
            <v>23.844999999999999</v>
          </cell>
          <cell r="T41">
            <v>51.599404999999997</v>
          </cell>
          <cell r="V41" t="str">
            <v>M</v>
          </cell>
        </row>
        <row r="42">
          <cell r="L42" t="str">
            <v>Accountability O&amp;M ($M)</v>
          </cell>
          <cell r="M42" t="str">
            <v>L</v>
          </cell>
          <cell r="N42">
            <v>52.1</v>
          </cell>
          <cell r="O42">
            <v>65.400000000000006</v>
          </cell>
          <cell r="P42" t="str">
            <v>+</v>
          </cell>
          <cell r="Q42">
            <v>57.086735029999993</v>
          </cell>
          <cell r="R42">
            <v>13.959</v>
          </cell>
          <cell r="S42">
            <v>17.876000000000001</v>
          </cell>
          <cell r="T42">
            <v>26.209269772629426</v>
          </cell>
          <cell r="U42">
            <v>2.5595132299999994</v>
          </cell>
          <cell r="V42" t="str">
            <v>M</v>
          </cell>
        </row>
        <row r="43">
          <cell r="L43" t="str">
            <v>Controllable O&amp;M ($M)</v>
          </cell>
          <cell r="M43" t="str">
            <v>L</v>
          </cell>
          <cell r="N43">
            <v>67.2</v>
          </cell>
          <cell r="O43">
            <v>83.100000000000009</v>
          </cell>
          <cell r="P43" t="str">
            <v>+</v>
          </cell>
          <cell r="Q43">
            <v>73.359008329999995</v>
          </cell>
          <cell r="V43" t="str">
            <v>M</v>
          </cell>
        </row>
        <row r="44">
          <cell r="L44" t="str">
            <v>Net Write-Off ($) /$100 billed</v>
          </cell>
          <cell r="M44" t="str">
            <v>L</v>
          </cell>
          <cell r="N44">
            <v>1.22</v>
          </cell>
          <cell r="O44">
            <v>0.82</v>
          </cell>
          <cell r="P44" t="str">
            <v>-</v>
          </cell>
          <cell r="Q44">
            <v>2.7234959560938128</v>
          </cell>
          <cell r="R44">
            <v>0.82</v>
          </cell>
          <cell r="V44" t="str">
            <v>M</v>
          </cell>
        </row>
        <row r="45">
          <cell r="L45" t="str">
            <v>Days Sales Outstanding</v>
          </cell>
          <cell r="M45" t="str">
            <v>L</v>
          </cell>
          <cell r="N45">
            <v>34.4</v>
          </cell>
          <cell r="O45">
            <v>34.5</v>
          </cell>
          <cell r="P45" t="str">
            <v>-</v>
          </cell>
          <cell r="Q45">
            <v>39.495607245370948</v>
          </cell>
          <cell r="R45">
            <v>41.2</v>
          </cell>
          <cell r="V45" t="str">
            <v>M</v>
          </cell>
        </row>
        <row r="46">
          <cell r="L46" t="str">
            <v>Current Capital Performance</v>
          </cell>
          <cell r="M46" t="str">
            <v>H</v>
          </cell>
          <cell r="O46">
            <v>1</v>
          </cell>
          <cell r="P46" t="str">
            <v>o</v>
          </cell>
          <cell r="Q46">
            <v>1.01</v>
          </cell>
          <cell r="R46">
            <v>0</v>
          </cell>
          <cell r="T46">
            <v>1.065922735584663</v>
          </cell>
          <cell r="V46" t="str">
            <v>M</v>
          </cell>
        </row>
        <row r="47">
          <cell r="L47" t="str">
            <v>ROIC</v>
          </cell>
          <cell r="M47" t="str">
            <v>H</v>
          </cell>
          <cell r="N47">
            <v>7.0599999999999996E-2</v>
          </cell>
          <cell r="O47">
            <v>6.2E-2</v>
          </cell>
          <cell r="P47" t="str">
            <v>+</v>
          </cell>
          <cell r="Q47">
            <v>5.8474977635110247E-2</v>
          </cell>
          <cell r="V47" t="str">
            <v>M</v>
          </cell>
        </row>
        <row r="48">
          <cell r="L48" t="str">
            <v>Funds from Operations/Debt</v>
          </cell>
          <cell r="M48" t="str">
            <v>H</v>
          </cell>
          <cell r="O48" t="str">
            <v xml:space="preserve"> </v>
          </cell>
          <cell r="P48" t="str">
            <v xml:space="preserve"> </v>
          </cell>
          <cell r="V48" t="str">
            <v>Q</v>
          </cell>
        </row>
        <row r="49">
          <cell r="L49" t="str">
            <v>(Societal) Cost ($) of PSE&amp;G Solar Loan Program</v>
          </cell>
          <cell r="M49" t="str">
            <v>H</v>
          </cell>
          <cell r="O49">
            <v>1939</v>
          </cell>
          <cell r="P49" t="str">
            <v>-</v>
          </cell>
          <cell r="Q49">
            <v>1529</v>
          </cell>
          <cell r="U49">
            <v>1529</v>
          </cell>
          <cell r="V49" t="str">
            <v>Q</v>
          </cell>
        </row>
        <row r="50">
          <cell r="L50" t="str">
            <v>EE-Productivity Measure (carbon abatement)</v>
          </cell>
          <cell r="M50" t="str">
            <v>L</v>
          </cell>
          <cell r="O50">
            <v>0.26</v>
          </cell>
          <cell r="P50" t="str">
            <v>+</v>
          </cell>
          <cell r="Q50">
            <v>0.26</v>
          </cell>
          <cell r="U50">
            <v>0.35</v>
          </cell>
          <cell r="V50" t="str">
            <v>Q</v>
          </cell>
        </row>
        <row r="51">
          <cell r="L51" t="str">
            <v>Capital Projects' Results</v>
          </cell>
          <cell r="M51" t="str">
            <v>H</v>
          </cell>
          <cell r="P51" t="str">
            <v xml:space="preserve"> </v>
          </cell>
          <cell r="V51" t="str">
            <v>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sheetName val="Sheet1"/>
      <sheetName val="Initiatives"/>
      <sheetName val="Definitions"/>
      <sheetName val="Sheet2"/>
      <sheetName val="Elec"/>
      <sheetName val="Reporting_Period"/>
    </sheetNames>
    <sheetDataSet>
      <sheetData sheetId="0">
        <row r="8">
          <cell r="A8" t="str">
            <v>OSHA Days Away Rate</v>
          </cell>
          <cell r="B8">
            <v>1</v>
          </cell>
          <cell r="D8" t="str">
            <v>L</v>
          </cell>
          <cell r="E8">
            <v>0</v>
          </cell>
          <cell r="F8">
            <v>0</v>
          </cell>
          <cell r="G8" t="str">
            <v>é</v>
          </cell>
          <cell r="H8">
            <v>0</v>
          </cell>
          <cell r="J8" t="str">
            <v>OSHA Days Away Rate</v>
          </cell>
          <cell r="L8">
            <v>0</v>
          </cell>
          <cell r="M8">
            <v>0</v>
          </cell>
          <cell r="N8" t="str">
            <v>+</v>
          </cell>
          <cell r="O8">
            <v>0</v>
          </cell>
        </row>
        <row r="9">
          <cell r="A9" t="str">
            <v>Availability</v>
          </cell>
          <cell r="B9">
            <v>1</v>
          </cell>
          <cell r="D9" t="str">
            <v>H</v>
          </cell>
          <cell r="E9">
            <v>0.99</v>
          </cell>
          <cell r="F9">
            <v>0.98399999999999999</v>
          </cell>
          <cell r="G9" t="str">
            <v>é</v>
          </cell>
          <cell r="H9">
            <v>0.98599999999999999</v>
          </cell>
          <cell r="J9" t="str">
            <v>Availability</v>
          </cell>
          <cell r="L9">
            <v>0.98599999999999999</v>
          </cell>
          <cell r="M9">
            <v>0.97899999999999998</v>
          </cell>
          <cell r="N9" t="str">
            <v>+</v>
          </cell>
          <cell r="O9">
            <v>0.99299999999999999</v>
          </cell>
        </row>
        <row r="10">
          <cell r="A10" t="str">
            <v>Staffing Levels – Permanent</v>
          </cell>
          <cell r="B10">
            <v>1</v>
          </cell>
          <cell r="C10">
            <v>1</v>
          </cell>
          <cell r="D10" t="str">
            <v>L</v>
          </cell>
          <cell r="E10">
            <v>17</v>
          </cell>
          <cell r="F10">
            <v>11</v>
          </cell>
          <cell r="G10" t="str">
            <v xml:space="preserve">  ê</v>
          </cell>
          <cell r="H10">
            <v>13</v>
          </cell>
          <cell r="L10">
            <v>17</v>
          </cell>
          <cell r="M10">
            <v>11</v>
          </cell>
          <cell r="N10" t="str">
            <v>+</v>
          </cell>
          <cell r="O10" t="str">
            <v>13*</v>
          </cell>
        </row>
        <row r="11">
          <cell r="A11" t="str">
            <v xml:space="preserve">Corporate Culture for Ethics and Compliance  </v>
          </cell>
          <cell r="B11">
            <v>1</v>
          </cell>
          <cell r="D11" t="str">
            <v>H</v>
          </cell>
          <cell r="E11" t="str">
            <v>NA</v>
          </cell>
          <cell r="F11">
            <v>5.75</v>
          </cell>
          <cell r="G11" t="str">
            <v xml:space="preserve">  ê</v>
          </cell>
          <cell r="H11">
            <v>4.9400000000000004</v>
          </cell>
          <cell r="L11" t="str">
            <v>NA</v>
          </cell>
          <cell r="M11" t="str">
            <v>NA</v>
          </cell>
          <cell r="O11" t="str">
            <v>NA</v>
          </cell>
        </row>
        <row r="12">
          <cell r="A12" t="str">
            <v>Development - MAST (%)</v>
          </cell>
          <cell r="B12">
            <v>1</v>
          </cell>
          <cell r="D12" t="str">
            <v>H</v>
          </cell>
          <cell r="E12" t="str">
            <v>NA</v>
          </cell>
          <cell r="F12">
            <v>0.97</v>
          </cell>
          <cell r="G12" t="str">
            <v>é</v>
          </cell>
          <cell r="H12">
            <v>1</v>
          </cell>
          <cell r="J12" t="str">
            <v>Development - MAST (%)</v>
          </cell>
          <cell r="L12" t="str">
            <v>NA</v>
          </cell>
          <cell r="M12">
            <v>0.97</v>
          </cell>
          <cell r="N12" t="str">
            <v>+</v>
          </cell>
          <cell r="O12">
            <v>1</v>
          </cell>
        </row>
        <row r="13">
          <cell r="A13" t="str">
            <v xml:space="preserve">*Includes 2 “impacted” associates brought over to displace contractors. Direct labor for these individuals is recovered through RGGI programs. </v>
          </cell>
        </row>
        <row r="14">
          <cell r="A14" t="str">
            <v>SAFE,  RELIABLE</v>
          </cell>
          <cell r="B14" t="str">
            <v>MICP A</v>
          </cell>
          <cell r="C14" t="str">
            <v>MICP B</v>
          </cell>
          <cell r="D14" t="str">
            <v>L/H</v>
          </cell>
          <cell r="E14" t="str">
            <v>2009 YTD</v>
          </cell>
          <cell r="F14" t="str">
            <v>2010 Target</v>
          </cell>
          <cell r="G14" t="str">
            <v>YE Forecast</v>
          </cell>
          <cell r="H14" t="str">
            <v>2010 YTD</v>
          </cell>
          <cell r="K14" t="str">
            <v>L/H</v>
          </cell>
          <cell r="L14">
            <v>40148</v>
          </cell>
          <cell r="M14" t="str">
            <v>2010 Target</v>
          </cell>
          <cell r="N14" t="str">
            <v xml:space="preserve"> Status</v>
          </cell>
          <cell r="O14">
            <v>40513</v>
          </cell>
        </row>
        <row r="15">
          <cell r="A15" t="str">
            <v xml:space="preserve">Solar Loans Closed Capacity (MW) </v>
          </cell>
          <cell r="B15">
            <v>1</v>
          </cell>
          <cell r="D15" t="str">
            <v>H</v>
          </cell>
          <cell r="E15" t="str">
            <v>NA</v>
          </cell>
          <cell r="F15">
            <v>15.6</v>
          </cell>
          <cell r="G15" t="str">
            <v xml:space="preserve">  ê</v>
          </cell>
          <cell r="H15">
            <v>7.43</v>
          </cell>
          <cell r="J15" t="str">
            <v xml:space="preserve">Solar Loans Closed Capacity (MW) </v>
          </cell>
          <cell r="L15" t="str">
            <v>NA</v>
          </cell>
          <cell r="M15">
            <v>0</v>
          </cell>
          <cell r="N15" t="str">
            <v>+</v>
          </cell>
          <cell r="O15">
            <v>2.72</v>
          </cell>
        </row>
        <row r="16">
          <cell r="A16" t="str">
            <v>Solar Loan Program - Average Time to Approve (Residential)</v>
          </cell>
          <cell r="B16">
            <v>1</v>
          </cell>
          <cell r="C16">
            <v>1</v>
          </cell>
          <cell r="D16" t="str">
            <v>L</v>
          </cell>
          <cell r="E16">
            <v>67</v>
          </cell>
          <cell r="F16">
            <v>46</v>
          </cell>
          <cell r="G16" t="str">
            <v xml:space="preserve">  ê</v>
          </cell>
          <cell r="H16">
            <v>65</v>
          </cell>
          <cell r="J16" t="str">
            <v>Solar Loan Program - Average Time to Approve (Residential)</v>
          </cell>
          <cell r="L16">
            <v>44</v>
          </cell>
          <cell r="M16">
            <v>46</v>
          </cell>
          <cell r="N16" t="str">
            <v>-</v>
          </cell>
          <cell r="O16">
            <v>105</v>
          </cell>
        </row>
        <row r="17">
          <cell r="A17" t="str">
            <v>EE Effectiveness (Admin$/(Inv$ +Admin$))</v>
          </cell>
          <cell r="B17">
            <v>1</v>
          </cell>
          <cell r="D17" t="str">
            <v>L</v>
          </cell>
          <cell r="E17" t="str">
            <v>NA</v>
          </cell>
          <cell r="F17">
            <v>9.7000000000000003E-2</v>
          </cell>
          <cell r="G17" t="str">
            <v>é</v>
          </cell>
          <cell r="H17">
            <v>5.7700000000000001E-2</v>
          </cell>
          <cell r="J17" t="str">
            <v>EE Effectiveness (Admin$/(Inv$ +Admin$))</v>
          </cell>
          <cell r="L17" t="str">
            <v>NA</v>
          </cell>
          <cell r="M17">
            <v>9.7000000000000003E-2</v>
          </cell>
          <cell r="N17" t="str">
            <v>+</v>
          </cell>
          <cell r="O17">
            <v>8.8599999999999998E-2</v>
          </cell>
        </row>
        <row r="18">
          <cell r="A18" t="str">
            <v>Solar 4 All Investment Cost per Watt</v>
          </cell>
          <cell r="B18">
            <v>1</v>
          </cell>
          <cell r="D18" t="str">
            <v>L</v>
          </cell>
          <cell r="E18" t="str">
            <v>NA</v>
          </cell>
          <cell r="F18">
            <v>6.5</v>
          </cell>
          <cell r="G18" t="str">
            <v>é</v>
          </cell>
          <cell r="H18">
            <v>6.17</v>
          </cell>
          <cell r="J18" t="str">
            <v>Solar 4 All Investment Cost per Watt</v>
          </cell>
          <cell r="L18" t="str">
            <v>NA</v>
          </cell>
          <cell r="M18">
            <v>6.5</v>
          </cell>
          <cell r="N18" t="str">
            <v>+</v>
          </cell>
          <cell r="O18">
            <v>5.73</v>
          </cell>
        </row>
        <row r="20">
          <cell r="A20" t="str">
            <v>ECONOMIC</v>
          </cell>
          <cell r="B20" t="str">
            <v>MICP A</v>
          </cell>
          <cell r="C20" t="str">
            <v>MICP B</v>
          </cell>
          <cell r="D20" t="str">
            <v>L/H</v>
          </cell>
          <cell r="E20" t="str">
            <v>2009 YTD</v>
          </cell>
          <cell r="F20" t="str">
            <v>2010 Target</v>
          </cell>
          <cell r="G20" t="str">
            <v>YE Forecast</v>
          </cell>
          <cell r="H20" t="str">
            <v>2010 YTD</v>
          </cell>
          <cell r="K20" t="str">
            <v>L/H</v>
          </cell>
          <cell r="L20">
            <v>40148</v>
          </cell>
          <cell r="M20" t="str">
            <v>2010 Target</v>
          </cell>
          <cell r="N20" t="str">
            <v xml:space="preserve"> Status</v>
          </cell>
          <cell r="O20">
            <v>40513</v>
          </cell>
        </row>
        <row r="21">
          <cell r="A21" t="str">
            <v>Controllable O&amp;M  ($MM)</v>
          </cell>
          <cell r="B21">
            <v>1</v>
          </cell>
          <cell r="D21" t="str">
            <v>L</v>
          </cell>
          <cell r="E21">
            <v>2.9</v>
          </cell>
          <cell r="F21">
            <v>4.1100000000000003</v>
          </cell>
          <cell r="G21" t="str">
            <v>é</v>
          </cell>
          <cell r="H21">
            <v>3.2476280000000002</v>
          </cell>
          <cell r="J21" t="str">
            <v>Controllable O&amp;M  ($MM)</v>
          </cell>
          <cell r="L21" t="str">
            <v>NA</v>
          </cell>
          <cell r="M21">
            <v>0.34758299999999998</v>
          </cell>
          <cell r="N21" t="str">
            <v>+</v>
          </cell>
          <cell r="O21">
            <v>0.31246499999999999</v>
          </cell>
        </row>
        <row r="22">
          <cell r="A22" t="str">
            <v>Earnings Contributions ($MM) * Adjusted Plan</v>
          </cell>
          <cell r="B22">
            <v>1</v>
          </cell>
          <cell r="D22" t="str">
            <v>H</v>
          </cell>
          <cell r="E22" t="str">
            <v>NA</v>
          </cell>
          <cell r="F22" t="str">
            <v>10.06/7.91*</v>
          </cell>
          <cell r="G22" t="str">
            <v xml:space="preserve">  ê</v>
          </cell>
          <cell r="H22">
            <v>7.63</v>
          </cell>
          <cell r="J22" t="str">
            <v>Earnings Contributions ($MM) * Adjusted Plan</v>
          </cell>
          <cell r="L22" t="str">
            <v>NA</v>
          </cell>
          <cell r="M22" t="str">
            <v>NA</v>
          </cell>
          <cell r="N22" t="str">
            <v>NA</v>
          </cell>
          <cell r="O22" t="str">
            <v>NA</v>
          </cell>
        </row>
        <row r="23">
          <cell r="A23" t="str">
            <v>EE Productivity (Lifetime $ per kWh)</v>
          </cell>
          <cell r="B23">
            <v>1</v>
          </cell>
          <cell r="D23" t="str">
            <v>L</v>
          </cell>
          <cell r="E23" t="str">
            <v>NA</v>
          </cell>
          <cell r="F23">
            <v>3.5999999999999997E-2</v>
          </cell>
          <cell r="G23" t="str">
            <v>é</v>
          </cell>
          <cell r="H23">
            <v>3.56E-2</v>
          </cell>
          <cell r="J23" t="str">
            <v>EE Productivity (Lifetime $ per kWh)</v>
          </cell>
          <cell r="L23" t="str">
            <v>NA</v>
          </cell>
          <cell r="M23">
            <v>3.5999999999999997E-2</v>
          </cell>
          <cell r="O23">
            <v>2.5000000000000001E-2</v>
          </cell>
        </row>
        <row r="24">
          <cell r="A24" t="str">
            <v>RGGI  Administrative Costs</v>
          </cell>
          <cell r="B24">
            <v>1</v>
          </cell>
          <cell r="D24" t="str">
            <v>L</v>
          </cell>
          <cell r="E24" t="str">
            <v>NA</v>
          </cell>
          <cell r="F24">
            <v>20.3</v>
          </cell>
          <cell r="G24" t="str">
            <v>é</v>
          </cell>
          <cell r="H24">
            <v>10.149936</v>
          </cell>
          <cell r="J24" t="str">
            <v>RGGI  Administrative Costs</v>
          </cell>
          <cell r="L24" t="str">
            <v>NA</v>
          </cell>
          <cell r="M24">
            <v>1.557485</v>
          </cell>
          <cell r="N24" t="str">
            <v>+</v>
          </cell>
          <cell r="O24">
            <v>1.4855160000000001</v>
          </cell>
        </row>
        <row r="25">
          <cell r="A25" t="str">
            <v>RGGI Cumulative Program Investment Levels ($MM)</v>
          </cell>
          <cell r="B25">
            <v>1</v>
          </cell>
          <cell r="D25" t="str">
            <v>H</v>
          </cell>
          <cell r="E25" t="str">
            <v>NA</v>
          </cell>
          <cell r="F25">
            <v>451</v>
          </cell>
          <cell r="G25" t="str">
            <v xml:space="preserve">  ê</v>
          </cell>
          <cell r="H25">
            <v>397.9</v>
          </cell>
          <cell r="J25" t="str">
            <v>RGGI Cumulative Program Investment Levels ($MM)</v>
          </cell>
          <cell r="L25" t="str">
            <v>NA</v>
          </cell>
          <cell r="M25">
            <v>62.8</v>
          </cell>
          <cell r="N25" t="str">
            <v>-</v>
          </cell>
          <cell r="O25">
            <v>51.3</v>
          </cell>
        </row>
        <row r="26">
          <cell r="A26" t="str">
            <v>* See attached</v>
          </cell>
          <cell r="M26" t="str">
            <v xml:space="preserve"> </v>
          </cell>
        </row>
        <row r="27">
          <cell r="A27" t="str">
            <v>GREEN ENERGY</v>
          </cell>
          <cell r="B27" t="str">
            <v>MICP A</v>
          </cell>
          <cell r="C27" t="str">
            <v>MICP B</v>
          </cell>
          <cell r="D27" t="str">
            <v>L/H</v>
          </cell>
          <cell r="E27" t="str">
            <v>2009 YTD</v>
          </cell>
          <cell r="F27" t="str">
            <v>2010 Target</v>
          </cell>
          <cell r="G27" t="str">
            <v>YE Forecast</v>
          </cell>
          <cell r="H27" t="str">
            <v>2010 YTD</v>
          </cell>
          <cell r="K27" t="str">
            <v>L/H</v>
          </cell>
          <cell r="L27">
            <v>40148</v>
          </cell>
          <cell r="M27" t="str">
            <v>2010 Target</v>
          </cell>
          <cell r="N27" t="str">
            <v xml:space="preserve"> Status</v>
          </cell>
          <cell r="O27">
            <v>40513</v>
          </cell>
        </row>
        <row r="28">
          <cell r="A28" t="str">
            <v>Annualized Renewable Energy (MWh)</v>
          </cell>
          <cell r="B28">
            <v>1</v>
          </cell>
          <cell r="C28">
            <v>1</v>
          </cell>
          <cell r="D28" t="str">
            <v>H</v>
          </cell>
          <cell r="E28">
            <v>6909</v>
          </cell>
          <cell r="F28">
            <v>44763.6</v>
          </cell>
          <cell r="G28" t="str">
            <v>é</v>
          </cell>
          <cell r="H28">
            <v>45668</v>
          </cell>
          <cell r="J28" t="str">
            <v>Annualized Renewable Energy (MWh)</v>
          </cell>
          <cell r="L28">
            <v>6633</v>
          </cell>
          <cell r="M28">
            <v>26855</v>
          </cell>
          <cell r="N28" t="str">
            <v>+</v>
          </cell>
          <cell r="O28">
            <v>18417</v>
          </cell>
        </row>
        <row r="29">
          <cell r="A29" t="str">
            <v>Annualized Energy Efficiency Energy Savings (MWh equivalent)</v>
          </cell>
          <cell r="B29">
            <v>1</v>
          </cell>
          <cell r="D29" t="str">
            <v>H</v>
          </cell>
          <cell r="E29" t="str">
            <v>NA</v>
          </cell>
          <cell r="F29">
            <v>222901</v>
          </cell>
          <cell r="G29" t="str">
            <v>é</v>
          </cell>
          <cell r="H29">
            <v>283025</v>
          </cell>
          <cell r="J29" t="str">
            <v>Annualized Energy Efficiency Energy Savings (MWh equivalent)</v>
          </cell>
          <cell r="L29" t="str">
            <v>NA</v>
          </cell>
          <cell r="M29">
            <v>222901</v>
          </cell>
          <cell r="N29" t="str">
            <v>+</v>
          </cell>
          <cell r="O29">
            <v>37085</v>
          </cell>
        </row>
        <row r="30">
          <cell r="A30" t="str">
            <v>DR - MegaWatts</v>
          </cell>
          <cell r="B30">
            <v>1</v>
          </cell>
          <cell r="D30" t="str">
            <v>H</v>
          </cell>
          <cell r="E30" t="str">
            <v>NA</v>
          </cell>
          <cell r="F30">
            <v>43</v>
          </cell>
          <cell r="G30" t="str">
            <v xml:space="preserve">  ê</v>
          </cell>
          <cell r="H30">
            <v>13.27</v>
          </cell>
          <cell r="J30" t="str">
            <v>DR - MegaWatts</v>
          </cell>
          <cell r="L30" t="str">
            <v>NA</v>
          </cell>
          <cell r="M30">
            <v>43</v>
          </cell>
          <cell r="N30" t="str">
            <v>-</v>
          </cell>
          <cell r="O30">
            <v>0.42</v>
          </cell>
        </row>
        <row r="31">
          <cell r="A31" t="str">
            <v>Milestones Completed</v>
          </cell>
          <cell r="B31">
            <v>1</v>
          </cell>
          <cell r="D31" t="str">
            <v>H</v>
          </cell>
          <cell r="E31" t="str">
            <v>NA</v>
          </cell>
          <cell r="F31">
            <v>0.7</v>
          </cell>
          <cell r="G31" t="str">
            <v>é</v>
          </cell>
          <cell r="H31">
            <v>0.79</v>
          </cell>
          <cell r="J31" t="str">
            <v>Milestones Completed</v>
          </cell>
          <cell r="L31" t="str">
            <v>NA</v>
          </cell>
          <cell r="M31">
            <v>0.7</v>
          </cell>
          <cell r="N31" t="str">
            <v>+</v>
          </cell>
          <cell r="O31">
            <v>0.79</v>
          </cell>
        </row>
        <row r="32">
          <cell r="B32">
            <v>19</v>
          </cell>
          <cell r="C32">
            <v>3</v>
          </cell>
        </row>
        <row r="33">
          <cell r="A33" t="str">
            <v>On track to meet target  é   Meeting target at risk   çè    Not expected to meet target     ê</v>
          </cell>
          <cell r="J33" t="str">
            <v>LEGEND:       Monthly Status:      +  = Better than Plan,     o  = On Plan,      -  = Worse than Plan</v>
          </cell>
        </row>
        <row r="34">
          <cell r="B34">
            <v>13</v>
          </cell>
          <cell r="C34">
            <v>3</v>
          </cell>
        </row>
        <row r="36">
          <cell r="B36">
            <v>0.68421052631578949</v>
          </cell>
          <cell r="C36">
            <v>1</v>
          </cell>
        </row>
        <row r="37">
          <cell r="A37" t="str">
            <v>*Utility Level Metric</v>
          </cell>
        </row>
        <row r="39">
          <cell r="F39">
            <v>962772</v>
          </cell>
        </row>
        <row r="40">
          <cell r="F40">
            <v>356040</v>
          </cell>
          <cell r="H40">
            <v>184</v>
          </cell>
        </row>
        <row r="41">
          <cell r="F41">
            <v>1318812</v>
          </cell>
          <cell r="H41">
            <v>184</v>
          </cell>
        </row>
      </sheetData>
      <sheetData sheetId="1"/>
      <sheetData sheetId="2"/>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A8" t="str">
            <v>OSHA Recordable Incidence Rate</v>
          </cell>
          <cell r="B8" t="str">
            <v>L</v>
          </cell>
          <cell r="C8">
            <v>1.5801205782488879</v>
          </cell>
          <cell r="D8">
            <v>1.39</v>
          </cell>
          <cell r="E8" t="str">
            <v>ê</v>
          </cell>
          <cell r="F8">
            <v>1.7716194643412808</v>
          </cell>
          <cell r="G8">
            <v>3.0927427961874212</v>
          </cell>
          <cell r="H8">
            <v>1.9147556120290266</v>
          </cell>
          <cell r="I8">
            <v>1.5202012320774927</v>
          </cell>
          <cell r="J8">
            <v>2.4014264953667777</v>
          </cell>
          <cell r="K8">
            <v>1.3433908528516829</v>
          </cell>
          <cell r="L8">
            <v>1.1390489766855185</v>
          </cell>
          <cell r="M8">
            <v>0</v>
          </cell>
          <cell r="N8">
            <v>0</v>
          </cell>
        </row>
        <row r="9">
          <cell r="A9" t="str">
            <v>OSHA Days Away Rate (Severity)</v>
          </cell>
          <cell r="B9" t="str">
            <v>L</v>
          </cell>
          <cell r="C9">
            <v>12.82907421863978</v>
          </cell>
          <cell r="D9">
            <v>6.96</v>
          </cell>
          <cell r="E9" t="str">
            <v>ê</v>
          </cell>
          <cell r="F9">
            <v>19.487814107754087</v>
          </cell>
          <cell r="G9">
            <v>50.809345937364782</v>
          </cell>
          <cell r="H9">
            <v>28.721334180435399</v>
          </cell>
          <cell r="I9">
            <v>0</v>
          </cell>
          <cell r="J9">
            <v>20.011887461389815</v>
          </cell>
          <cell r="K9">
            <v>42.988507291253853</v>
          </cell>
          <cell r="L9">
            <v>5.6952448834275922</v>
          </cell>
          <cell r="M9">
            <v>0</v>
          </cell>
          <cell r="N9">
            <v>0</v>
          </cell>
        </row>
        <row r="10">
          <cell r="A10" t="str">
            <v>Motor Vehicle Accident Rate</v>
          </cell>
          <cell r="B10" t="str">
            <v>L</v>
          </cell>
          <cell r="C10">
            <v>5.9663560690885316</v>
          </cell>
          <cell r="D10">
            <v>3.88</v>
          </cell>
          <cell r="E10" t="str">
            <v>ê</v>
          </cell>
          <cell r="F10">
            <v>6.571678915513381</v>
          </cell>
          <cell r="G10">
            <v>6.448384928717501</v>
          </cell>
          <cell r="H10">
            <v>9.059262544518397</v>
          </cell>
          <cell r="I10">
            <v>13.894666981612451</v>
          </cell>
          <cell r="J10">
            <v>4.3566362974947035</v>
          </cell>
          <cell r="K10">
            <v>3.4214665089750769</v>
          </cell>
          <cell r="L10">
            <v>5.7526862647903965</v>
          </cell>
          <cell r="M10">
            <v>2.1460862361832285</v>
          </cell>
          <cell r="N10">
            <v>3.1264883387195779</v>
          </cell>
        </row>
        <row r="11">
          <cell r="A11" t="str">
            <v>Availability - Illness</v>
          </cell>
          <cell r="B11" t="str">
            <v>H</v>
          </cell>
          <cell r="C11">
            <v>0.96742033603015776</v>
          </cell>
          <cell r="D11">
            <v>0.97299999999999998</v>
          </cell>
          <cell r="E11" t="str">
            <v>ê</v>
          </cell>
          <cell r="F11">
            <v>0.96793335842588191</v>
          </cell>
          <cell r="G11">
            <v>0.9673859247878589</v>
          </cell>
          <cell r="H11">
            <v>0.9684715406719816</v>
          </cell>
          <cell r="I11">
            <v>0.96731047051614205</v>
          </cell>
          <cell r="J11">
            <v>0.96079765344486456</v>
          </cell>
          <cell r="K11">
            <v>0.97321609213290794</v>
          </cell>
          <cell r="L11">
            <v>0.96589656177197636</v>
          </cell>
          <cell r="M11">
            <v>0.9825649128729913</v>
          </cell>
          <cell r="N11">
            <v>0.97655148915080459</v>
          </cell>
        </row>
        <row r="12">
          <cell r="A12" t="str">
            <v>Overtime</v>
          </cell>
          <cell r="B12" t="str">
            <v>L</v>
          </cell>
          <cell r="C12">
            <v>0.22955571611408318</v>
          </cell>
          <cell r="D12">
            <v>0.154</v>
          </cell>
          <cell r="E12" t="str">
            <v>ê</v>
          </cell>
          <cell r="F12">
            <v>0.20263991287408198</v>
          </cell>
          <cell r="G12">
            <v>0.20435488412870895</v>
          </cell>
          <cell r="H12">
            <v>0.29189162638689192</v>
          </cell>
          <cell r="I12">
            <v>0.27779873952934697</v>
          </cell>
          <cell r="J12">
            <v>0.21910924467724219</v>
          </cell>
          <cell r="K12">
            <v>0.32166757450782041</v>
          </cell>
          <cell r="L12">
            <v>6.8404949988857974E-2</v>
          </cell>
          <cell r="M12">
            <v>0.18090732741325349</v>
          </cell>
          <cell r="N12">
            <v>3.640320062176429E-2</v>
          </cell>
        </row>
        <row r="13">
          <cell r="A13" t="str">
            <v>Staffing Levels - Permanent</v>
          </cell>
          <cell r="B13" t="str">
            <v>L</v>
          </cell>
          <cell r="C13">
            <v>2661</v>
          </cell>
          <cell r="D13">
            <v>2702</v>
          </cell>
          <cell r="E13" t="str">
            <v>ê</v>
          </cell>
          <cell r="F13">
            <v>2722</v>
          </cell>
          <cell r="G13">
            <v>463</v>
          </cell>
          <cell r="H13">
            <v>444</v>
          </cell>
          <cell r="I13">
            <v>441</v>
          </cell>
          <cell r="J13">
            <v>507</v>
          </cell>
          <cell r="K13">
            <v>69</v>
          </cell>
          <cell r="L13">
            <v>402</v>
          </cell>
          <cell r="M13">
            <v>210</v>
          </cell>
          <cell r="N13">
            <v>186</v>
          </cell>
        </row>
        <row r="14">
          <cell r="A14" t="str">
            <v>Corporate Culture for Ethics and Compliance</v>
          </cell>
          <cell r="B14" t="str">
            <v>H</v>
          </cell>
          <cell r="C14">
            <v>0.59</v>
          </cell>
          <cell r="D14">
            <v>0.72</v>
          </cell>
          <cell r="E14" t="str">
            <v>ê</v>
          </cell>
          <cell r="F14">
            <v>0.65</v>
          </cell>
          <cell r="G14">
            <v>0.97265625</v>
          </cell>
          <cell r="H14">
            <v>1</v>
          </cell>
          <cell r="I14">
            <v>1</v>
          </cell>
          <cell r="J14">
            <v>1</v>
          </cell>
          <cell r="K14">
            <v>1</v>
          </cell>
          <cell r="L14">
            <v>0.99188311688311692</v>
          </cell>
          <cell r="M14">
            <v>0.98743464327879915</v>
          </cell>
          <cell r="N14">
            <v>0.98270487669574869</v>
          </cell>
        </row>
        <row r="15">
          <cell r="A15" t="str">
            <v>Employee Development - MAST</v>
          </cell>
          <cell r="B15" t="str">
            <v>H</v>
          </cell>
          <cell r="C15">
            <v>0.25242980561555078</v>
          </cell>
          <cell r="D15">
            <v>0.95</v>
          </cell>
          <cell r="E15" t="str">
            <v>é</v>
          </cell>
          <cell r="F15">
            <v>0.7411271062271062</v>
          </cell>
          <cell r="G15">
            <v>0.70104545454545442</v>
          </cell>
          <cell r="H15">
            <v>0.78067567567567575</v>
          </cell>
          <cell r="I15">
            <v>0.69382221357712504</v>
          </cell>
          <cell r="J15">
            <v>0.72447368421052638</v>
          </cell>
          <cell r="K15">
            <v>0.62678571428571428</v>
          </cell>
          <cell r="L15">
            <v>0.76045454545454538</v>
          </cell>
          <cell r="M15">
            <v>0.70782945736434111</v>
          </cell>
          <cell r="N15">
            <v>0.77712177121771231</v>
          </cell>
        </row>
        <row r="16">
          <cell r="A16" t="str">
            <v>Employee Technical Training - BU</v>
          </cell>
          <cell r="B16" t="str">
            <v>H</v>
          </cell>
          <cell r="C16">
            <v>0.52897037713689155</v>
          </cell>
          <cell r="D16">
            <v>1</v>
          </cell>
          <cell r="E16" t="str">
            <v>é</v>
          </cell>
          <cell r="F16">
            <v>0.82999940992506049</v>
          </cell>
          <cell r="G16">
            <v>0.65740490963042897</v>
          </cell>
          <cell r="H16">
            <v>0.76171015403961018</v>
          </cell>
          <cell r="I16">
            <v>0.72124183006535947</v>
          </cell>
          <cell r="J16">
            <v>0.90392587173860039</v>
          </cell>
          <cell r="K16">
            <v>1.5518590998043054</v>
          </cell>
          <cell r="L16">
            <v>0.77643504531722052</v>
          </cell>
          <cell r="M16">
            <v>1.6584699453551912</v>
          </cell>
        </row>
        <row r="17">
          <cell r="A17" t="str">
            <v>Hours To Work</v>
          </cell>
          <cell r="B17" t="str">
            <v>L</v>
          </cell>
          <cell r="C17" t="str">
            <v>Dec '09 YTD</v>
          </cell>
          <cell r="D17" t="str">
            <v>NT</v>
          </cell>
          <cell r="E17" t="str">
            <v>é</v>
          </cell>
          <cell r="F17">
            <v>2.3854513653438832E-2</v>
          </cell>
          <cell r="G17">
            <v>4.4137329117537871E-2</v>
          </cell>
          <cell r="H17">
            <v>2.3654162603585747E-2</v>
          </cell>
          <cell r="I17">
            <v>2.5531167767927847E-2</v>
          </cell>
          <cell r="J17">
            <v>1.4332174031105226E-2</v>
          </cell>
          <cell r="K17">
            <v>0.17249770113538127</v>
          </cell>
          <cell r="L17" t="str">
            <v>UOS</v>
          </cell>
          <cell r="M17" t="str">
            <v>DP&amp;C</v>
          </cell>
        </row>
        <row r="18">
          <cell r="A18" t="str">
            <v>SAIFI</v>
          </cell>
          <cell r="B18" t="str">
            <v>L</v>
          </cell>
          <cell r="C18">
            <v>0.7</v>
          </cell>
          <cell r="D18">
            <v>0.7</v>
          </cell>
          <cell r="E18" t="str">
            <v>ê</v>
          </cell>
          <cell r="F18">
            <v>0.84</v>
          </cell>
          <cell r="G18">
            <v>0.79</v>
          </cell>
          <cell r="H18">
            <v>0.72</v>
          </cell>
          <cell r="I18">
            <v>0.83</v>
          </cell>
          <cell r="J18">
            <v>1.01</v>
          </cell>
        </row>
        <row r="19">
          <cell r="A19" t="str">
            <v>MAIFI</v>
          </cell>
          <cell r="B19" t="str">
            <v>ELECTRIC DELIVERY</v>
          </cell>
          <cell r="C19">
            <v>1.24</v>
          </cell>
          <cell r="D19">
            <v>1.25</v>
          </cell>
          <cell r="E19" t="str">
            <v>ê</v>
          </cell>
          <cell r="F19">
            <v>1.31</v>
          </cell>
          <cell r="G19">
            <v>1.55</v>
          </cell>
          <cell r="H19">
            <v>1.01</v>
          </cell>
          <cell r="I19">
            <v>1.41</v>
          </cell>
          <cell r="J19">
            <v>1.28</v>
          </cell>
          <cell r="K19">
            <v>3.2511263359225433E-2</v>
          </cell>
        </row>
        <row r="20">
          <cell r="A20" t="str">
            <v>SAFE, RELIABLE</v>
          </cell>
          <cell r="B20" t="str">
            <v>L/H</v>
          </cell>
          <cell r="C20" t="str">
            <v>Nov 08 YTD</v>
          </cell>
          <cell r="D20" t="str">
            <v>2009 Target</v>
          </cell>
          <cell r="E20" t="str">
            <v>YE Forecast</v>
          </cell>
          <cell r="F20" t="str">
            <v>Electric Delivery</v>
          </cell>
          <cell r="G20" t="str">
            <v>Central</v>
          </cell>
          <cell r="H20" t="str">
            <v>Metro</v>
          </cell>
          <cell r="I20" t="str">
            <v>Pal</v>
          </cell>
          <cell r="J20" t="str">
            <v>South</v>
          </cell>
          <cell r="K20" t="str">
            <v>TC&amp;M</v>
          </cell>
          <cell r="L20" t="str">
            <v>UOS</v>
          </cell>
          <cell r="M20" t="str">
            <v>DPCG</v>
          </cell>
          <cell r="P20" t="str">
            <v>SAFE, RELIABLE</v>
          </cell>
          <cell r="Q20" t="str">
            <v>L/H</v>
          </cell>
          <cell r="R20">
            <v>39753</v>
          </cell>
          <cell r="S20" t="str">
            <v>2009 Plan</v>
          </cell>
          <cell r="T20" t="str">
            <v>Monthly Status</v>
          </cell>
          <cell r="U20" t="str">
            <v>Electric
Delivery</v>
          </cell>
          <cell r="V20" t="str">
            <v>Central</v>
          </cell>
          <cell r="W20" t="str">
            <v>Metro</v>
          </cell>
          <cell r="X20" t="str">
            <v>Pal</v>
          </cell>
          <cell r="Y20" t="str">
            <v>South</v>
          </cell>
          <cell r="Z20" t="str">
            <v>TC&amp;M</v>
          </cell>
          <cell r="AA20" t="str">
            <v>UOS</v>
          </cell>
          <cell r="AB20" t="str">
            <v>DPCG</v>
          </cell>
          <cell r="AC20">
            <v>0.96092307692307677</v>
          </cell>
        </row>
        <row r="21">
          <cell r="A21" t="str">
            <v>SAIFI</v>
          </cell>
          <cell r="B21" t="str">
            <v>L</v>
          </cell>
          <cell r="C21">
            <v>0.66</v>
          </cell>
          <cell r="D21">
            <v>0.72</v>
          </cell>
          <cell r="E21" t="str">
            <v>é</v>
          </cell>
          <cell r="F21">
            <v>0.64</v>
          </cell>
          <cell r="G21">
            <v>0.56999999999999995</v>
          </cell>
          <cell r="H21">
            <v>0.55000000000000004</v>
          </cell>
          <cell r="I21">
            <v>0.63</v>
          </cell>
          <cell r="J21">
            <v>0.81</v>
          </cell>
          <cell r="K21">
            <v>1.9867549668874173E-2</v>
          </cell>
          <cell r="P21" t="str">
            <v>SAIFI</v>
          </cell>
          <cell r="Q21" t="str">
            <v>L</v>
          </cell>
          <cell r="R21">
            <v>0.04</v>
          </cell>
          <cell r="S21">
            <v>5.0996821272297967E-2</v>
          </cell>
          <cell r="T21" t="str">
            <v>+</v>
          </cell>
          <cell r="U21">
            <v>0.04</v>
          </cell>
          <cell r="V21">
            <v>0.03</v>
          </cell>
          <cell r="W21">
            <v>0.03</v>
          </cell>
          <cell r="X21">
            <v>0.03</v>
          </cell>
          <cell r="Y21">
            <v>0.05</v>
          </cell>
          <cell r="AC21">
            <v>1.699885956663532</v>
          </cell>
        </row>
        <row r="22">
          <cell r="A22" t="str">
            <v>MAIFI</v>
          </cell>
          <cell r="B22" t="str">
            <v>L</v>
          </cell>
          <cell r="C22">
            <v>1.24</v>
          </cell>
          <cell r="D22">
            <v>1.25</v>
          </cell>
          <cell r="E22" t="str">
            <v>é</v>
          </cell>
          <cell r="F22">
            <v>1.1399999999999999</v>
          </cell>
          <cell r="G22">
            <v>1.06</v>
          </cell>
          <cell r="H22">
            <v>0.78</v>
          </cell>
          <cell r="I22">
            <v>1.27</v>
          </cell>
          <cell r="J22">
            <v>1.44</v>
          </cell>
          <cell r="K22">
            <v>3.5651092039635075E-2</v>
          </cell>
          <cell r="P22" t="str">
            <v>MAIFI</v>
          </cell>
          <cell r="Q22" t="str">
            <v>L</v>
          </cell>
          <cell r="R22">
            <v>0.09</v>
          </cell>
          <cell r="S22">
            <v>0.10869565217391314</v>
          </cell>
          <cell r="T22" t="str">
            <v>+</v>
          </cell>
          <cell r="U22">
            <v>0.08</v>
          </cell>
          <cell r="V22">
            <v>0.11</v>
          </cell>
          <cell r="W22">
            <v>0.05</v>
          </cell>
          <cell r="X22">
            <v>7.0000000000000007E-2</v>
          </cell>
          <cell r="Y22">
            <v>0.1</v>
          </cell>
          <cell r="Z22">
            <v>3.5651092039635075E-2</v>
          </cell>
          <cell r="AC22">
            <v>0.99218122001978371</v>
          </cell>
        </row>
        <row r="23">
          <cell r="A23" t="str">
            <v>CAIDI</v>
          </cell>
          <cell r="B23" t="str">
            <v>L</v>
          </cell>
          <cell r="C23">
            <v>65.349999999999994</v>
          </cell>
          <cell r="D23">
            <v>66.5</v>
          </cell>
          <cell r="E23" t="str">
            <v>é</v>
          </cell>
          <cell r="F23">
            <v>64.11</v>
          </cell>
          <cell r="G23">
            <v>64.81</v>
          </cell>
          <cell r="H23">
            <v>69.06</v>
          </cell>
          <cell r="I23">
            <v>58.25</v>
          </cell>
          <cell r="J23">
            <v>65.19</v>
          </cell>
          <cell r="P23" t="str">
            <v>CAIDI</v>
          </cell>
          <cell r="Q23" t="str">
            <v>L</v>
          </cell>
          <cell r="R23">
            <v>46.84</v>
          </cell>
          <cell r="S23">
            <v>58.344090663574896</v>
          </cell>
          <cell r="T23" t="str">
            <v>-</v>
          </cell>
          <cell r="U23">
            <v>70.39</v>
          </cell>
          <cell r="V23">
            <v>53.15</v>
          </cell>
          <cell r="W23">
            <v>136.38999999999999</v>
          </cell>
          <cell r="X23">
            <v>53.49</v>
          </cell>
          <cell r="Y23">
            <v>49.89</v>
          </cell>
          <cell r="AC23">
            <v>1.0032585360662474</v>
          </cell>
        </row>
        <row r="24">
          <cell r="A24" t="str">
            <v>CEMI</v>
          </cell>
          <cell r="B24" t="str">
            <v>L</v>
          </cell>
          <cell r="C24">
            <v>0.02</v>
          </cell>
          <cell r="D24">
            <v>2.3E-2</v>
          </cell>
          <cell r="E24" t="str">
            <v>é</v>
          </cell>
          <cell r="F24">
            <v>1.0999999999999999E-2</v>
          </cell>
          <cell r="G24">
            <v>4.0000000000000001E-3</v>
          </cell>
          <cell r="H24">
            <v>6.0000000000000001E-3</v>
          </cell>
          <cell r="I24">
            <v>8.9999999999999993E-3</v>
          </cell>
          <cell r="J24">
            <v>2.4E-2</v>
          </cell>
          <cell r="P24" t="str">
            <v>CEMI</v>
          </cell>
          <cell r="Q24" t="str">
            <v>L</v>
          </cell>
          <cell r="R24" t="str">
            <v>+</v>
          </cell>
          <cell r="S24">
            <v>78.664250974889498</v>
          </cell>
          <cell r="AC24">
            <v>1.005762263116829</v>
          </cell>
        </row>
        <row r="25">
          <cell r="A25" t="str">
            <v>Forced Automatic Outage Rate (Trans)</v>
          </cell>
          <cell r="B25" t="str">
            <v>L</v>
          </cell>
          <cell r="C25">
            <v>4.0816326530612242E-2</v>
          </cell>
          <cell r="D25">
            <v>5.4100000000000002E-2</v>
          </cell>
          <cell r="E25" t="str">
            <v>é</v>
          </cell>
          <cell r="F25">
            <v>2.6490066225165563E-2</v>
          </cell>
          <cell r="G25">
            <v>0.82</v>
          </cell>
          <cell r="H25">
            <v>0.76</v>
          </cell>
          <cell r="I25">
            <v>0.89</v>
          </cell>
          <cell r="J25">
            <v>0.76</v>
          </cell>
          <cell r="K25">
            <v>2.6490066225165563E-2</v>
          </cell>
          <cell r="P25" t="str">
            <v>Forced Automatic Outage Rate (Trans)</v>
          </cell>
          <cell r="Q25" t="str">
            <v>L</v>
          </cell>
          <cell r="R25">
            <v>0</v>
          </cell>
          <cell r="S25">
            <v>0</v>
          </cell>
          <cell r="T25" t="str">
            <v>o</v>
          </cell>
          <cell r="U25">
            <v>0</v>
          </cell>
          <cell r="V25">
            <v>0.88</v>
          </cell>
          <cell r="W25">
            <v>0.56000000000000005</v>
          </cell>
          <cell r="Z25">
            <v>0</v>
          </cell>
          <cell r="AC25">
            <v>1.0348938550023563</v>
          </cell>
        </row>
        <row r="26">
          <cell r="A26" t="str">
            <v>Police &amp; Fire Response Rate</v>
          </cell>
          <cell r="B26" t="str">
            <v>L</v>
          </cell>
          <cell r="C26">
            <v>0.51423441908181589</v>
          </cell>
          <cell r="D26">
            <v>0.53300000000000003</v>
          </cell>
          <cell r="E26" t="str">
            <v>é</v>
          </cell>
          <cell r="F26">
            <v>0.58306847731869405</v>
          </cell>
          <cell r="G26">
            <v>0.6120460584588131</v>
          </cell>
          <cell r="H26">
            <v>0.52329192546583847</v>
          </cell>
          <cell r="I26">
            <v>0.54621848739495793</v>
          </cell>
          <cell r="J26">
            <v>0.60841720036596525</v>
          </cell>
          <cell r="M26">
            <v>8.73</v>
          </cell>
          <cell r="P26" t="str">
            <v>Police &amp; Fire Response Rate</v>
          </cell>
          <cell r="Q26" t="str">
            <v>L</v>
          </cell>
          <cell r="R26">
            <v>0.49466192170818507</v>
          </cell>
          <cell r="S26">
            <v>0.53300000000000003</v>
          </cell>
          <cell r="T26" t="str">
            <v>-</v>
          </cell>
          <cell r="U26">
            <v>0.70744680851063835</v>
          </cell>
          <cell r="V26">
            <v>0.7068965517241379</v>
          </cell>
          <cell r="W26">
            <v>0.72093023255813948</v>
          </cell>
          <cell r="X26">
            <v>0.77142857142857146</v>
          </cell>
          <cell r="Y26">
            <v>0.65384615384615385</v>
          </cell>
          <cell r="Z26">
            <v>8.9499999999999993</v>
          </cell>
          <cell r="AC26">
            <v>1.0455555555555556</v>
          </cell>
        </row>
        <row r="27">
          <cell r="A27" t="str">
            <v>Mean Time to Service</v>
          </cell>
          <cell r="B27" t="str">
            <v>H</v>
          </cell>
          <cell r="C27">
            <v>39.700000000000003</v>
          </cell>
          <cell r="D27">
            <v>39.6</v>
          </cell>
          <cell r="E27" t="str">
            <v>é</v>
          </cell>
          <cell r="F27">
            <v>42.1</v>
          </cell>
          <cell r="G27">
            <v>93</v>
          </cell>
          <cell r="H27">
            <v>100</v>
          </cell>
          <cell r="I27">
            <v>112</v>
          </cell>
          <cell r="J27">
            <v>70</v>
          </cell>
          <cell r="K27">
            <v>2</v>
          </cell>
          <cell r="L27">
            <v>42.1</v>
          </cell>
          <cell r="M27">
            <v>0</v>
          </cell>
          <cell r="P27" t="str">
            <v>Mean Time to Service</v>
          </cell>
          <cell r="Q27" t="str">
            <v>H</v>
          </cell>
          <cell r="R27">
            <v>41.5</v>
          </cell>
          <cell r="S27">
            <v>39.6</v>
          </cell>
          <cell r="T27" t="str">
            <v>+</v>
          </cell>
          <cell r="U27">
            <v>43.17</v>
          </cell>
          <cell r="V27">
            <v>4</v>
          </cell>
          <cell r="W27">
            <v>0</v>
          </cell>
          <cell r="X27">
            <v>0</v>
          </cell>
          <cell r="Z27">
            <v>0</v>
          </cell>
          <cell r="AA27">
            <v>43.17</v>
          </cell>
          <cell r="AC27">
            <v>0.24651162790697678</v>
          </cell>
        </row>
        <row r="28">
          <cell r="A28" t="str">
            <v xml:space="preserve">Perception Survey (Res/Sm Business) </v>
          </cell>
          <cell r="B28" t="str">
            <v>H</v>
          </cell>
          <cell r="C28">
            <v>75.437069158065299</v>
          </cell>
          <cell r="D28">
            <v>76</v>
          </cell>
          <cell r="E28" t="str">
            <v>ê</v>
          </cell>
          <cell r="F28">
            <v>74.173645960159604</v>
          </cell>
          <cell r="P28" t="str">
            <v xml:space="preserve">Perception Survey (Res/Sm Business) </v>
          </cell>
          <cell r="Q28" t="str">
            <v>H</v>
          </cell>
          <cell r="R28">
            <v>75.437069158065299</v>
          </cell>
          <cell r="S28">
            <v>76</v>
          </cell>
          <cell r="T28" t="str">
            <v>-</v>
          </cell>
          <cell r="U28">
            <v>73.253084911504601</v>
          </cell>
        </row>
        <row r="29">
          <cell r="A29" t="str">
            <v>% STLT Trouble Orders ≤ 4 Days</v>
          </cell>
          <cell r="B29" t="str">
            <v>H</v>
          </cell>
          <cell r="C29">
            <v>0.82</v>
          </cell>
          <cell r="D29">
            <v>0.84</v>
          </cell>
          <cell r="E29" t="str">
            <v>é</v>
          </cell>
          <cell r="F29">
            <v>0.85</v>
          </cell>
          <cell r="G29">
            <v>0.82</v>
          </cell>
          <cell r="H29">
            <v>0.84</v>
          </cell>
          <cell r="I29">
            <v>0.88</v>
          </cell>
          <cell r="J29">
            <v>0.84</v>
          </cell>
          <cell r="K29" t="str">
            <v>TC&amp;M</v>
          </cell>
          <cell r="L29" t="str">
            <v>UOS</v>
          </cell>
          <cell r="M29" t="str">
            <v>DP&amp;C</v>
          </cell>
          <cell r="N29" t="str">
            <v>VP&amp;O</v>
          </cell>
          <cell r="P29" t="str">
            <v>% STLT Trouble Orders ≤ 4 Days</v>
          </cell>
          <cell r="Q29" t="str">
            <v>H</v>
          </cell>
          <cell r="R29">
            <v>0.67</v>
          </cell>
          <cell r="S29">
            <v>0.84</v>
          </cell>
          <cell r="T29" t="str">
            <v>-</v>
          </cell>
          <cell r="U29">
            <v>0.72</v>
          </cell>
          <cell r="V29">
            <v>0.71</v>
          </cell>
          <cell r="W29">
            <v>0.69</v>
          </cell>
          <cell r="X29">
            <v>0.7</v>
          </cell>
          <cell r="Y29">
            <v>0.77</v>
          </cell>
          <cell r="Z29" t="str">
            <v>DP&amp;C</v>
          </cell>
          <cell r="AA29" t="str">
            <v>VP&amp;O</v>
          </cell>
          <cell r="AC29" t="str">
            <v>Financial YTD</v>
          </cell>
        </row>
        <row r="30">
          <cell r="A30" t="str">
            <v>Moment of Truth Survey</v>
          </cell>
          <cell r="B30" t="str">
            <v>H</v>
          </cell>
          <cell r="C30">
            <v>8.82</v>
          </cell>
          <cell r="D30">
            <v>9</v>
          </cell>
          <cell r="E30" t="str">
            <v>ê</v>
          </cell>
          <cell r="F30">
            <v>8.76</v>
          </cell>
          <cell r="G30">
            <v>8.64</v>
          </cell>
          <cell r="H30">
            <v>8.9</v>
          </cell>
          <cell r="I30">
            <v>8.64</v>
          </cell>
          <cell r="J30">
            <v>8.83</v>
          </cell>
          <cell r="K30">
            <v>8.4197310000000005</v>
          </cell>
          <cell r="L30">
            <v>25.183886999999999</v>
          </cell>
          <cell r="M30">
            <v>7.97</v>
          </cell>
          <cell r="N30">
            <v>54.793767000000003</v>
          </cell>
          <cell r="P30" t="str">
            <v>Moment of Truth Survey</v>
          </cell>
          <cell r="Q30" t="str">
            <v>H</v>
          </cell>
          <cell r="R30">
            <v>8.68</v>
          </cell>
          <cell r="S30">
            <v>9</v>
          </cell>
          <cell r="T30" t="str">
            <v>-</v>
          </cell>
          <cell r="U30">
            <v>8.65</v>
          </cell>
          <cell r="V30">
            <v>8.5399999999999991</v>
          </cell>
          <cell r="W30">
            <v>8.94</v>
          </cell>
          <cell r="X30">
            <v>8.81</v>
          </cell>
          <cell r="Y30">
            <v>8.27</v>
          </cell>
          <cell r="Z30">
            <v>50.760264999999997</v>
          </cell>
          <cell r="AA30">
            <v>9.1269390000000001</v>
          </cell>
          <cell r="AB30">
            <v>8.07</v>
          </cell>
          <cell r="AC30">
            <v>1.254984571723371</v>
          </cell>
        </row>
        <row r="31">
          <cell r="A31" t="str">
            <v>New Business Construction Survey</v>
          </cell>
          <cell r="B31" t="str">
            <v>H</v>
          </cell>
          <cell r="C31">
            <v>8.4</v>
          </cell>
          <cell r="D31">
            <v>8.5</v>
          </cell>
          <cell r="E31" t="str">
            <v>ê</v>
          </cell>
          <cell r="F31">
            <v>8.17</v>
          </cell>
          <cell r="G31">
            <v>8.11</v>
          </cell>
          <cell r="H31">
            <v>8.02</v>
          </cell>
          <cell r="I31">
            <v>8.39</v>
          </cell>
          <cell r="J31">
            <v>8.14</v>
          </cell>
          <cell r="K31">
            <v>9.2791656199999988</v>
          </cell>
          <cell r="L31">
            <v>26.249333560000004</v>
          </cell>
          <cell r="M31">
            <v>28.88760534</v>
          </cell>
          <cell r="N31">
            <v>151.8380669</v>
          </cell>
          <cell r="P31" t="str">
            <v>New Business Construction Survey</v>
          </cell>
          <cell r="Q31" t="str">
            <v>H</v>
          </cell>
          <cell r="R31">
            <v>8.4600000000000009</v>
          </cell>
          <cell r="S31">
            <v>8.5</v>
          </cell>
          <cell r="T31" t="str">
            <v>-</v>
          </cell>
          <cell r="U31">
            <v>8.25</v>
          </cell>
          <cell r="V31">
            <v>7.9</v>
          </cell>
          <cell r="W31">
            <v>7.98</v>
          </cell>
          <cell r="X31">
            <v>8.64</v>
          </cell>
          <cell r="Y31">
            <v>8.5500000000000007</v>
          </cell>
          <cell r="Z31">
            <v>5.9068916900000001</v>
          </cell>
          <cell r="AA31">
            <v>16.456696230000002</v>
          </cell>
          <cell r="AC31">
            <v>1.1796629956903193</v>
          </cell>
        </row>
        <row r="32">
          <cell r="A32" t="str">
            <v>Number of Regulatory Inquiries</v>
          </cell>
          <cell r="B32" t="str">
            <v>L</v>
          </cell>
          <cell r="C32">
            <v>264</v>
          </cell>
          <cell r="D32">
            <v>219</v>
          </cell>
          <cell r="E32" t="str">
            <v>é</v>
          </cell>
          <cell r="F32">
            <v>145</v>
          </cell>
          <cell r="G32">
            <v>58</v>
          </cell>
          <cell r="H32">
            <v>47</v>
          </cell>
          <cell r="I32">
            <v>21</v>
          </cell>
          <cell r="J32">
            <v>15</v>
          </cell>
          <cell r="K32">
            <v>4</v>
          </cell>
          <cell r="M32">
            <v>0</v>
          </cell>
          <cell r="P32" t="str">
            <v>Number of Regulatory Inquiries</v>
          </cell>
          <cell r="Q32" t="str">
            <v>L</v>
          </cell>
          <cell r="R32">
            <v>9</v>
          </cell>
          <cell r="S32">
            <v>19.88649262202043</v>
          </cell>
          <cell r="T32" t="str">
            <v>+</v>
          </cell>
          <cell r="U32">
            <v>18</v>
          </cell>
          <cell r="V32">
            <v>6</v>
          </cell>
          <cell r="W32">
            <v>8</v>
          </cell>
          <cell r="X32">
            <v>1</v>
          </cell>
          <cell r="Y32">
            <v>2</v>
          </cell>
          <cell r="Z32">
            <v>1</v>
          </cell>
          <cell r="AB32">
            <v>0</v>
          </cell>
          <cell r="AC32">
            <v>1.9598433182879631</v>
          </cell>
        </row>
        <row r="33">
          <cell r="A33" t="str">
            <v>NJ Stimulus Capital Earnings ($M)</v>
          </cell>
          <cell r="B33" t="str">
            <v>H</v>
          </cell>
          <cell r="D33">
            <v>10.199999999999999</v>
          </cell>
          <cell r="E33" t="str">
            <v>ê</v>
          </cell>
          <cell r="F33">
            <v>9.1453803307598012</v>
          </cell>
          <cell r="Q33">
            <v>1.3483108788979365</v>
          </cell>
          <cell r="R33" t="str">
            <v>-</v>
          </cell>
          <cell r="S33">
            <v>1.0976894847298717</v>
          </cell>
          <cell r="AC33">
            <v>1.1033940852196273</v>
          </cell>
        </row>
        <row r="34">
          <cell r="A34" t="str">
            <v>Blanket Capital Results</v>
          </cell>
          <cell r="B34" t="str">
            <v>ELECTRIC DELIVERY</v>
          </cell>
          <cell r="D34">
            <v>0.8</v>
          </cell>
          <cell r="E34" t="str">
            <v>ê</v>
          </cell>
          <cell r="F34">
            <v>0.3</v>
          </cell>
          <cell r="G34">
            <v>0.5</v>
          </cell>
          <cell r="H34">
            <v>0.3</v>
          </cell>
          <cell r="I34">
            <v>0.4</v>
          </cell>
          <cell r="J34">
            <v>0.3</v>
          </cell>
        </row>
        <row r="35">
          <cell r="A35" t="str">
            <v>ECONOMIC</v>
          </cell>
          <cell r="B35" t="str">
            <v>L/H</v>
          </cell>
          <cell r="C35" t="str">
            <v>Nov 08 YTD</v>
          </cell>
          <cell r="D35" t="str">
            <v>2009 Target</v>
          </cell>
          <cell r="E35" t="str">
            <v>YE Forecast</v>
          </cell>
          <cell r="F35" t="str">
            <v>Electric Delivery</v>
          </cell>
          <cell r="G35" t="str">
            <v>Central</v>
          </cell>
          <cell r="H35" t="str">
            <v>Metro</v>
          </cell>
          <cell r="I35" t="str">
            <v>Pal</v>
          </cell>
          <cell r="J35" t="str">
            <v>South</v>
          </cell>
          <cell r="K35" t="str">
            <v>TC&amp;M</v>
          </cell>
          <cell r="L35" t="str">
            <v>UOS</v>
          </cell>
          <cell r="M35" t="str">
            <v>DPCG</v>
          </cell>
          <cell r="N35" t="str">
            <v>VP &amp;
Other</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Accountability O&amp;M ($M)</v>
          </cell>
          <cell r="B37" t="str">
            <v>L</v>
          </cell>
          <cell r="C37">
            <v>271.93947970502148</v>
          </cell>
          <cell r="D37">
            <v>336.1</v>
          </cell>
          <cell r="E37" t="str">
            <v>é</v>
          </cell>
          <cell r="F37">
            <v>287.13512888584472</v>
          </cell>
          <cell r="G37">
            <v>26.340297677074584</v>
          </cell>
          <cell r="H37">
            <v>28.400481658526612</v>
          </cell>
          <cell r="I37">
            <v>22.242666499868164</v>
          </cell>
          <cell r="J37">
            <v>30.938273917604977</v>
          </cell>
          <cell r="K37">
            <v>7.8042798745800779</v>
          </cell>
          <cell r="L37">
            <v>24.488672795625</v>
          </cell>
          <cell r="M37">
            <v>30.841326449909062</v>
          </cell>
          <cell r="N37">
            <v>116.07913001265619</v>
          </cell>
        </row>
        <row r="38">
          <cell r="A38" t="str">
            <v>Transmission Plant Additions and CWIP ($M)</v>
          </cell>
          <cell r="B38" t="str">
            <v>H</v>
          </cell>
          <cell r="C38">
            <v>8.8774625332983828</v>
          </cell>
          <cell r="D38">
            <v>263</v>
          </cell>
          <cell r="E38" t="str">
            <v>é</v>
          </cell>
          <cell r="F38">
            <v>249.49952089599998</v>
          </cell>
          <cell r="L38">
            <v>9.1999999999999993</v>
          </cell>
          <cell r="M38">
            <v>249.49952089599998</v>
          </cell>
        </row>
        <row r="39">
          <cell r="A39" t="str">
            <v>Total Average Inventory ($M)</v>
          </cell>
          <cell r="B39" t="str">
            <v>L</v>
          </cell>
          <cell r="C39">
            <v>61.266265849090914</v>
          </cell>
          <cell r="D39">
            <v>64</v>
          </cell>
          <cell r="E39" t="str">
            <v>ê</v>
          </cell>
          <cell r="F39">
            <v>66.913868701818188</v>
          </cell>
          <cell r="G39">
            <v>7.3235924245454553</v>
          </cell>
          <cell r="H39">
            <v>9.4828189972727284</v>
          </cell>
          <cell r="I39">
            <v>6.5989023245454552</v>
          </cell>
          <cell r="J39">
            <v>6.4313445999999992</v>
          </cell>
          <cell r="K39">
            <v>3.4777055727272721</v>
          </cell>
          <cell r="L39">
            <v>66.913868701818188</v>
          </cell>
          <cell r="M39">
            <v>0.52450691727272736</v>
          </cell>
          <cell r="N39">
            <v>0.47020614027815949</v>
          </cell>
        </row>
        <row r="40">
          <cell r="A40" t="str">
            <v>Capital Projects' Results</v>
          </cell>
          <cell r="B40" t="str">
            <v>H</v>
          </cell>
          <cell r="C40">
            <v>0.7228306053652146</v>
          </cell>
          <cell r="D40">
            <v>0.86799999999999999</v>
          </cell>
          <cell r="E40" t="str">
            <v>ê</v>
          </cell>
          <cell r="F40">
            <v>0.45158641670101024</v>
          </cell>
          <cell r="M40">
            <v>0.92644702465783213</v>
          </cell>
          <cell r="N40">
            <v>0</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row r="49">
          <cell r="A49" t="str">
            <v>LEGEND:   Expected to meet or exceed goal é     Achievement of goal not yet assured çè     Not expected to meet goal 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FleetMPG_Month"/>
      <sheetName val="PeakDemand_Month"/>
      <sheetName val="RenewEnergy_Month"/>
      <sheetName val="NewSolar_Month"/>
      <sheetName val="NonHazardWaste_Month"/>
      <sheetName val="HazardousWaste_Month"/>
      <sheetName val="EnergySavings_Month"/>
      <sheetName val="Data_FleetMPG"/>
      <sheetName val="Data_PeakDemand"/>
      <sheetName val="Data_RenewEnergy"/>
      <sheetName val="Data_NewSolar"/>
      <sheetName val="Data_NonHazardWaste"/>
      <sheetName val="Data_HazardousWaste"/>
      <sheetName val="Data_EnergySavings"/>
      <sheetName val="FleetMPG_Qtr_YTD"/>
      <sheetName val="PeakDemand_Qtr_YTD"/>
      <sheetName val="RenewEnergy_Qtr_YTD"/>
      <sheetName val="NewSolar_Qtr_YTD"/>
      <sheetName val="NonHazardWaste_Qtr_YTD"/>
      <sheetName val="HazardousWaste_Qtr_YTD"/>
      <sheetName val="EnergySavings_Qtr_YTD"/>
    </sheetNames>
    <sheetDataSet>
      <sheetData sheetId="0" refreshError="1">
        <row r="55">
          <cell r="L55" t="str">
            <v>Fleet MPG</v>
          </cell>
          <cell r="M55" t="str">
            <v>H</v>
          </cell>
          <cell r="O55" t="str">
            <v xml:space="preserve"> </v>
          </cell>
          <cell r="P55" t="str">
            <v xml:space="preserve"> </v>
          </cell>
        </row>
        <row r="56">
          <cell r="L56" t="str">
            <v>Peak Demand Reduction (MW)</v>
          </cell>
          <cell r="M56" t="str">
            <v>H</v>
          </cell>
          <cell r="P56" t="str">
            <v>+</v>
          </cell>
          <cell r="Q56" t="str">
            <v>Qtrly</v>
          </cell>
          <cell r="U56" t="str">
            <v>Qtrly</v>
          </cell>
          <cell r="V56" t="e">
            <v>#N/A</v>
          </cell>
        </row>
        <row r="57">
          <cell r="L57" t="str">
            <v>Renewable Energy Generated (kWh)</v>
          </cell>
          <cell r="M57" t="str">
            <v>H</v>
          </cell>
          <cell r="O57" t="str">
            <v xml:space="preserve"> </v>
          </cell>
          <cell r="P57" t="str">
            <v>-</v>
          </cell>
          <cell r="Q57" t="str">
            <v>Qtrly</v>
          </cell>
          <cell r="U57" t="str">
            <v>Qtrly</v>
          </cell>
          <cell r="V57" t="e">
            <v>#N/A</v>
          </cell>
        </row>
        <row r="58">
          <cell r="L58" t="str">
            <v>Net Number of New Solar Meters in UEZs</v>
          </cell>
          <cell r="M58" t="str">
            <v>H</v>
          </cell>
          <cell r="P58" t="str">
            <v>+</v>
          </cell>
          <cell r="Q58" t="str">
            <v>Qtrly</v>
          </cell>
          <cell r="U58" t="str">
            <v>Qtrly</v>
          </cell>
          <cell r="V58" t="e">
            <v>#N/A</v>
          </cell>
        </row>
        <row r="59">
          <cell r="L59" t="str">
            <v>Non-Hazardous Waste</v>
          </cell>
          <cell r="M59" t="str">
            <v>L</v>
          </cell>
          <cell r="P59" t="str">
            <v>+</v>
          </cell>
          <cell r="Q59" t="str">
            <v>Qtrly</v>
          </cell>
          <cell r="U59">
            <v>0</v>
          </cell>
          <cell r="V59" t="e">
            <v>#N/A</v>
          </cell>
        </row>
        <row r="60">
          <cell r="L60" t="str">
            <v>Hazardous Waste</v>
          </cell>
          <cell r="M60" t="str">
            <v>L</v>
          </cell>
          <cell r="P60" t="str">
            <v>-</v>
          </cell>
          <cell r="Q60">
            <v>0</v>
          </cell>
          <cell r="R60">
            <v>0</v>
          </cell>
          <cell r="S60" t="str">
            <v>Qtrly</v>
          </cell>
          <cell r="T60">
            <v>0</v>
          </cell>
          <cell r="V60" t="e">
            <v>#N/A</v>
          </cell>
        </row>
        <row r="61">
          <cell r="L61" t="str">
            <v>Carbon Abatement Energy Savings (kWh equivalent)</v>
          </cell>
          <cell r="M61" t="str">
            <v>H</v>
          </cell>
          <cell r="P61" t="str">
            <v>-</v>
          </cell>
          <cell r="Q61">
            <v>60.2</v>
          </cell>
          <cell r="R61">
            <v>0</v>
          </cell>
          <cell r="S61">
            <v>0</v>
          </cell>
          <cell r="T61">
            <v>0</v>
          </cell>
          <cell r="V61"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FleetMPG_Month"/>
      <sheetName val="RenewEnergy_Month"/>
      <sheetName val="NonHazardWaste_Month"/>
      <sheetName val="EnergySavings_Month"/>
      <sheetName val="NewSolar"/>
      <sheetName val="PeakDemand"/>
      <sheetName val="HazardousWaste"/>
      <sheetName val="GreenEnergy_Metrics_Master"/>
    </sheetNames>
    <sheetDataSet>
      <sheetData sheetId="0" refreshError="1">
        <row r="55">
          <cell r="A55" t="str">
            <v>Fleet MPG</v>
          </cell>
          <cell r="B55" t="str">
            <v>H</v>
          </cell>
          <cell r="C55">
            <v>8.9209439931870556</v>
          </cell>
          <cell r="D55">
            <v>8.9</v>
          </cell>
          <cell r="E55" t="str">
            <v>é</v>
          </cell>
          <cell r="F55">
            <v>8.9570602114278799</v>
          </cell>
        </row>
        <row r="56">
          <cell r="A56" t="str">
            <v>Renewable Energy Generated (kWh)</v>
          </cell>
          <cell r="B56" t="str">
            <v>H</v>
          </cell>
          <cell r="D56">
            <v>8479000</v>
          </cell>
          <cell r="E56" t="str">
            <v>ê</v>
          </cell>
          <cell r="F56">
            <v>4224148.3118333332</v>
          </cell>
          <cell r="J56">
            <v>4224148.3118333332</v>
          </cell>
        </row>
        <row r="57">
          <cell r="A57" t="str">
            <v>Non-Hazardous Waste</v>
          </cell>
          <cell r="B57" t="str">
            <v>L</v>
          </cell>
          <cell r="C57">
            <v>0.96889999999999998</v>
          </cell>
          <cell r="D57">
            <v>0.96899999999999997</v>
          </cell>
          <cell r="E57" t="str">
            <v>é</v>
          </cell>
          <cell r="F57">
            <v>0.97883845015190174</v>
          </cell>
          <cell r="G57">
            <v>0.72030000000000005</v>
          </cell>
          <cell r="H57">
            <v>0.99099999999999999</v>
          </cell>
          <cell r="I57">
            <v>0.93782407515859079</v>
          </cell>
        </row>
        <row r="58">
          <cell r="A58" t="str">
            <v>Energy Efficiency Energy Savings (kWh equivalent)</v>
          </cell>
          <cell r="B58" t="str">
            <v>H</v>
          </cell>
          <cell r="D58">
            <v>30373151</v>
          </cell>
          <cell r="E58" t="str">
            <v>é</v>
          </cell>
          <cell r="F58">
            <v>53534833.286763452</v>
          </cell>
          <cell r="J58">
            <v>53534833.286763459</v>
          </cell>
        </row>
        <row r="59">
          <cell r="A59" t="str">
            <v>Net Number of New Solar Meters in UEZs</v>
          </cell>
          <cell r="B59" t="str">
            <v>H</v>
          </cell>
          <cell r="D59">
            <v>6</v>
          </cell>
          <cell r="E59" t="str">
            <v>é</v>
          </cell>
          <cell r="F59">
            <v>4</v>
          </cell>
          <cell r="J59">
            <v>4</v>
          </cell>
        </row>
        <row r="60">
          <cell r="A60" t="str">
            <v>Peak Demand Reduction (MW)</v>
          </cell>
          <cell r="B60" t="str">
            <v>H</v>
          </cell>
          <cell r="D60">
            <v>61.8</v>
          </cell>
          <cell r="E60" t="str">
            <v>é</v>
          </cell>
          <cell r="F60">
            <v>61.9</v>
          </cell>
          <cell r="J60">
            <v>61.9</v>
          </cell>
        </row>
        <row r="61">
          <cell r="A61" t="str">
            <v>Hazardous Waste</v>
          </cell>
          <cell r="B61" t="str">
            <v>L</v>
          </cell>
          <cell r="C61">
            <v>1.44</v>
          </cell>
          <cell r="D61">
            <v>3.59</v>
          </cell>
          <cell r="E61" t="str">
            <v>é</v>
          </cell>
          <cell r="F61">
            <v>2.16</v>
          </cell>
        </row>
        <row r="63">
          <cell r="A63" t="str">
            <v>Expected to meet or exceed goal   é    Achievement of goal not yet assured   çè    Not expected to meet goal   ê</v>
          </cell>
        </row>
        <row r="65">
          <cell r="A65" t="str">
            <v>Master Column (A) for Metric Names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le Parties"/>
      <sheetName val="Customer Operations"/>
      <sheetName val="YTD PIP Status"/>
    </sheetNames>
    <sheetDataSet>
      <sheetData sheetId="0" refreshError="1"/>
      <sheetData sheetId="1" refreshError="1">
        <row r="9">
          <cell r="A9" t="str">
            <v>OSHA Days Away Rate (Severity)</v>
          </cell>
          <cell r="B9" t="str">
            <v>L</v>
          </cell>
          <cell r="C9">
            <v>0</v>
          </cell>
          <cell r="D9">
            <v>1.61</v>
          </cell>
          <cell r="E9" t="str">
            <v>é</v>
          </cell>
          <cell r="F9">
            <v>0</v>
          </cell>
          <cell r="G9">
            <v>0</v>
          </cell>
          <cell r="H9">
            <v>0</v>
          </cell>
          <cell r="I9">
            <v>0</v>
          </cell>
          <cell r="J9">
            <v>0</v>
          </cell>
          <cell r="K9">
            <v>0</v>
          </cell>
          <cell r="L9">
            <v>0</v>
          </cell>
          <cell r="M9">
            <v>0</v>
          </cell>
          <cell r="N9">
            <v>0</v>
          </cell>
          <cell r="P9" t="str">
            <v>OSHA Days Away Rate (Severity)</v>
          </cell>
          <cell r="Q9" t="str">
            <v>L</v>
          </cell>
          <cell r="R9">
            <v>0</v>
          </cell>
          <cell r="S9">
            <v>1.61</v>
          </cell>
          <cell r="T9" t="str">
            <v>+</v>
          </cell>
          <cell r="U9">
            <v>0</v>
          </cell>
          <cell r="V9">
            <v>0</v>
          </cell>
          <cell r="W9">
            <v>0</v>
          </cell>
          <cell r="X9">
            <v>0</v>
          </cell>
          <cell r="Y9">
            <v>0</v>
          </cell>
          <cell r="Z9">
            <v>0</v>
          </cell>
          <cell r="AA9">
            <v>0</v>
          </cell>
          <cell r="AB9">
            <v>0</v>
          </cell>
          <cell r="AC9">
            <v>0</v>
          </cell>
        </row>
        <row r="10">
          <cell r="A10" t="str">
            <v>Motor Vehicle Accident Rate</v>
          </cell>
          <cell r="B10" t="str">
            <v>L</v>
          </cell>
          <cell r="C10">
            <v>4.12</v>
          </cell>
          <cell r="D10">
            <v>3.21</v>
          </cell>
          <cell r="E10" t="str">
            <v>é</v>
          </cell>
          <cell r="F10">
            <v>6.1</v>
          </cell>
          <cell r="G10">
            <v>0</v>
          </cell>
          <cell r="H10">
            <v>5.12</v>
          </cell>
          <cell r="I10">
            <v>0</v>
          </cell>
          <cell r="J10">
            <v>0</v>
          </cell>
          <cell r="K10">
            <v>175.7</v>
          </cell>
          <cell r="L10">
            <v>0</v>
          </cell>
          <cell r="M10">
            <v>0</v>
          </cell>
          <cell r="N10">
            <v>34.799999999999997</v>
          </cell>
          <cell r="P10" t="str">
            <v>Motor Vehicle Accident Rate</v>
          </cell>
          <cell r="Q10" t="str">
            <v>L</v>
          </cell>
          <cell r="R10">
            <v>4.09</v>
          </cell>
          <cell r="S10">
            <v>3.21</v>
          </cell>
          <cell r="T10" t="str">
            <v>-</v>
          </cell>
          <cell r="U10">
            <v>9.82</v>
          </cell>
          <cell r="V10">
            <v>0</v>
          </cell>
          <cell r="W10">
            <v>9.8000000000000007</v>
          </cell>
          <cell r="X10">
            <v>0</v>
          </cell>
          <cell r="Y10">
            <v>0</v>
          </cell>
          <cell r="Z10">
            <v>337</v>
          </cell>
          <cell r="AA10">
            <v>0</v>
          </cell>
          <cell r="AB10">
            <v>0</v>
          </cell>
          <cell r="AC10">
            <v>0</v>
          </cell>
        </row>
        <row r="11">
          <cell r="A11" t="str">
            <v>Availability - Illness</v>
          </cell>
          <cell r="B11" t="str">
            <v>H</v>
          </cell>
          <cell r="C11">
            <v>0.94599999999999995</v>
          </cell>
          <cell r="D11">
            <v>0.97299999999999998</v>
          </cell>
          <cell r="E11" t="str">
            <v>é</v>
          </cell>
          <cell r="F11">
            <v>0.95499999999999996</v>
          </cell>
          <cell r="G11">
            <v>0.94899999999999995</v>
          </cell>
          <cell r="H11">
            <v>0.95899999999999996</v>
          </cell>
          <cell r="I11">
            <v>0.95699999999999996</v>
          </cell>
          <cell r="J11">
            <v>0.93799999999999994</v>
          </cell>
          <cell r="K11">
            <v>0.95699999999999996</v>
          </cell>
          <cell r="L11">
            <v>0.997</v>
          </cell>
          <cell r="M11">
            <v>1</v>
          </cell>
          <cell r="N11">
            <v>0.99099999999999999</v>
          </cell>
          <cell r="P11" t="str">
            <v>Availability - Illness</v>
          </cell>
          <cell r="Q11" t="str">
            <v>H</v>
          </cell>
          <cell r="R11">
            <v>0.93899999999999995</v>
          </cell>
          <cell r="S11">
            <v>0.97299999999999998</v>
          </cell>
          <cell r="T11" t="str">
            <v>-</v>
          </cell>
          <cell r="U11">
            <v>0.95599999999999996</v>
          </cell>
          <cell r="V11">
            <v>0.94399999999999995</v>
          </cell>
          <cell r="W11">
            <v>0.96699999999999997</v>
          </cell>
          <cell r="X11">
            <v>0.95799999999999996</v>
          </cell>
          <cell r="Y11">
            <v>0.93799999999999994</v>
          </cell>
          <cell r="Z11">
            <v>0.96699999999999997</v>
          </cell>
          <cell r="AA11">
            <v>0.995</v>
          </cell>
          <cell r="AB11">
            <v>1</v>
          </cell>
          <cell r="AC11">
            <v>0.99199999999999999</v>
          </cell>
        </row>
        <row r="12">
          <cell r="A12" t="str">
            <v>Staffing Levels - Permanent</v>
          </cell>
          <cell r="B12" t="str">
            <v>L</v>
          </cell>
          <cell r="C12">
            <v>1525</v>
          </cell>
          <cell r="D12">
            <v>1489</v>
          </cell>
          <cell r="E12" t="str">
            <v>é</v>
          </cell>
          <cell r="F12">
            <v>1586</v>
          </cell>
          <cell r="G12">
            <v>485</v>
          </cell>
          <cell r="H12">
            <v>535</v>
          </cell>
          <cell r="I12">
            <v>221</v>
          </cell>
          <cell r="J12">
            <v>198</v>
          </cell>
          <cell r="K12">
            <v>44</v>
          </cell>
          <cell r="L12">
            <v>30</v>
          </cell>
          <cell r="M12">
            <v>10</v>
          </cell>
          <cell r="N12">
            <v>63</v>
          </cell>
          <cell r="P12" t="str">
            <v>Staffing Levels - Permanent</v>
          </cell>
          <cell r="Q12" t="str">
            <v>L</v>
          </cell>
          <cell r="R12">
            <v>1525</v>
          </cell>
          <cell r="S12">
            <v>1493</v>
          </cell>
          <cell r="T12" t="str">
            <v>-</v>
          </cell>
          <cell r="U12">
            <v>1586</v>
          </cell>
          <cell r="V12">
            <v>485</v>
          </cell>
          <cell r="W12">
            <v>535</v>
          </cell>
          <cell r="X12">
            <v>221</v>
          </cell>
          <cell r="Y12">
            <v>198</v>
          </cell>
          <cell r="Z12">
            <v>44</v>
          </cell>
          <cell r="AA12">
            <v>30</v>
          </cell>
          <cell r="AB12">
            <v>10</v>
          </cell>
          <cell r="AC12">
            <v>63</v>
          </cell>
        </row>
        <row r="13">
          <cell r="A13" t="str">
            <v>Employee Technical Trng - BU</v>
          </cell>
          <cell r="B13" t="str">
            <v>H</v>
          </cell>
          <cell r="C13" t="str">
            <v>Qtrly</v>
          </cell>
          <cell r="D13">
            <v>1</v>
          </cell>
          <cell r="E13" t="str">
            <v>é</v>
          </cell>
          <cell r="F13" t="str">
            <v>Qtrly</v>
          </cell>
          <cell r="G13">
            <v>0.20799999999999999</v>
          </cell>
          <cell r="H13">
            <v>5.8999999999999997E-2</v>
          </cell>
          <cell r="I13">
            <v>0.16500000000000001</v>
          </cell>
          <cell r="J13">
            <v>8.6999999999999994E-2</v>
          </cell>
          <cell r="K13">
            <v>5.0000000000000001E-3</v>
          </cell>
          <cell r="L13">
            <v>3.2000000000000001E-2</v>
          </cell>
          <cell r="M13">
            <v>0</v>
          </cell>
          <cell r="N13">
            <v>3.5999999999999997E-2</v>
          </cell>
          <cell r="P13" t="str">
            <v>Employee Technical Trng - BU</v>
          </cell>
          <cell r="Q13" t="str">
            <v>H</v>
          </cell>
          <cell r="R13" t="str">
            <v>Qtrly</v>
          </cell>
          <cell r="S13" t="str">
            <v>Qtrly</v>
          </cell>
          <cell r="T13" t="str">
            <v>+</v>
          </cell>
          <cell r="U13" t="str">
            <v>Qtrly</v>
          </cell>
          <cell r="V13">
            <v>0.13900000000000001</v>
          </cell>
          <cell r="W13">
            <v>5.8999999999999997E-2</v>
          </cell>
          <cell r="X13">
            <v>0.13800000000000001</v>
          </cell>
          <cell r="Y13">
            <v>5.8999999999999997E-2</v>
          </cell>
          <cell r="Z13">
            <v>6.0000000000000001E-3</v>
          </cell>
          <cell r="AA13">
            <v>2.8000000000000001E-2</v>
          </cell>
          <cell r="AB13">
            <v>0</v>
          </cell>
          <cell r="AC13">
            <v>8.9999999999999993E-3</v>
          </cell>
        </row>
        <row r="14">
          <cell r="A14" t="str">
            <v>Employee Development -MAST</v>
          </cell>
          <cell r="B14" t="str">
            <v>H</v>
          </cell>
          <cell r="C14" t="str">
            <v>Qtrly</v>
          </cell>
          <cell r="D14">
            <v>0.95</v>
          </cell>
          <cell r="E14" t="str">
            <v>é</v>
          </cell>
          <cell r="F14" t="str">
            <v>Qtrly</v>
          </cell>
          <cell r="P14" t="str">
            <v>Employee Development -MAST</v>
          </cell>
          <cell r="Q14" t="str">
            <v>H</v>
          </cell>
          <cell r="R14" t="str">
            <v>Qtrly</v>
          </cell>
          <cell r="S14" t="str">
            <v>Qtrly</v>
          </cell>
          <cell r="T14" t="str">
            <v>+</v>
          </cell>
          <cell r="U14" t="str">
            <v>Qtrly</v>
          </cell>
        </row>
        <row r="15">
          <cell r="A15" t="str">
            <v>Corporate Culture for Ethics and Compliance</v>
          </cell>
          <cell r="B15" t="str">
            <v>H</v>
          </cell>
          <cell r="C15" t="str">
            <v>Qtrly</v>
          </cell>
          <cell r="D15">
            <v>0.62</v>
          </cell>
          <cell r="E15" t="str">
            <v>é</v>
          </cell>
          <cell r="F15" t="str">
            <v>Qtrly</v>
          </cell>
          <cell r="G15">
            <v>0.99099999999999999</v>
          </cell>
          <cell r="H15">
            <v>0.998</v>
          </cell>
          <cell r="I15">
            <v>0.97299999999999998</v>
          </cell>
          <cell r="J15">
            <v>0.97599999999999998</v>
          </cell>
          <cell r="K15">
            <v>0.98</v>
          </cell>
          <cell r="L15">
            <v>1</v>
          </cell>
          <cell r="M15">
            <v>1</v>
          </cell>
          <cell r="N15">
            <v>0.96199999999999997</v>
          </cell>
          <cell r="P15" t="str">
            <v>Employee Standards of Conduct Results</v>
          </cell>
          <cell r="Q15" t="str">
            <v>H</v>
          </cell>
          <cell r="R15" t="str">
            <v>Qtrly</v>
          </cell>
          <cell r="S15" t="str">
            <v>Qtrly</v>
          </cell>
          <cell r="T15" t="str">
            <v>+</v>
          </cell>
          <cell r="U15" t="str">
            <v>Qtrly</v>
          </cell>
          <cell r="V15">
            <v>0.99099999999999999</v>
          </cell>
          <cell r="W15">
            <v>0.998</v>
          </cell>
          <cell r="X15">
            <v>0.97299999999999998</v>
          </cell>
          <cell r="Y15">
            <v>0.97599999999999998</v>
          </cell>
          <cell r="Z15">
            <v>0.98</v>
          </cell>
          <cell r="AA15">
            <v>1</v>
          </cell>
          <cell r="AB15">
            <v>1</v>
          </cell>
          <cell r="AC15">
            <v>0.96199999999999997</v>
          </cell>
        </row>
        <row r="16">
          <cell r="A16" t="str">
            <v>Employee Technical Trng - BU</v>
          </cell>
          <cell r="B16" t="str">
            <v>H</v>
          </cell>
          <cell r="C16">
            <v>0.51</v>
          </cell>
          <cell r="D16">
            <v>1</v>
          </cell>
          <cell r="E16" t="str">
            <v>é</v>
          </cell>
          <cell r="F16">
            <v>0.65</v>
          </cell>
          <cell r="P16" t="str">
            <v>Employee Technical Trng - BU</v>
          </cell>
          <cell r="Q16" t="str">
            <v>H</v>
          </cell>
          <cell r="R16">
            <v>0.51</v>
          </cell>
          <cell r="S16">
            <v>1</v>
          </cell>
          <cell r="T16" t="str">
            <v>-</v>
          </cell>
          <cell r="U16">
            <v>0.65</v>
          </cell>
        </row>
        <row r="17">
          <cell r="A17" t="str">
            <v>SAFE (reliable)</v>
          </cell>
          <cell r="B17" t="str">
            <v>Customer Operations</v>
          </cell>
          <cell r="D17">
            <v>0.49199999999999999</v>
          </cell>
          <cell r="E17" t="str">
            <v>é</v>
          </cell>
          <cell r="P17" t="str">
            <v>SAFE (reliable)</v>
          </cell>
          <cell r="Q17" t="str">
            <v>Customer Operations</v>
          </cell>
          <cell r="S17">
            <v>0.49199999999999999</v>
          </cell>
          <cell r="T17" t="str">
            <v>-</v>
          </cell>
        </row>
        <row r="18">
          <cell r="A18" t="str">
            <v>SAFE (reliable)</v>
          </cell>
          <cell r="B18" t="str">
            <v>L/H</v>
          </cell>
          <cell r="C18" t="str">
            <v>Feb 08 YTD</v>
          </cell>
          <cell r="D18" t="str">
            <v>2009 Target</v>
          </cell>
          <cell r="E18" t="str">
            <v>YE Forecast</v>
          </cell>
          <cell r="F18" t="str">
            <v>Cust Ops</v>
          </cell>
          <cell r="G18" t="str">
            <v>Cust Cont</v>
          </cell>
          <cell r="H18" t="str">
            <v>Dist Ops</v>
          </cell>
          <cell r="I18" t="str">
            <v>Billing &amp; Rev Ops</v>
          </cell>
          <cell r="J18" t="str">
            <v>Com Rel &amp; CSC</v>
          </cell>
          <cell r="K18" t="str">
            <v>LCS &amp; AD</v>
          </cell>
          <cell r="L18" t="str">
            <v>UM</v>
          </cell>
          <cell r="M18" t="str">
            <v>RPA</v>
          </cell>
          <cell r="N18" t="str">
            <v>VP &amp; Support</v>
          </cell>
          <cell r="P18" t="str">
            <v>SAFE (reliable)</v>
          </cell>
          <cell r="Q18" t="str">
            <v>L/H</v>
          </cell>
          <cell r="R18" t="str">
            <v xml:space="preserve">Feb 08 </v>
          </cell>
          <cell r="S18" t="str">
            <v>Feb 09 Target</v>
          </cell>
          <cell r="T18" t="str">
            <v>Monthly / Quarterly Status</v>
          </cell>
          <cell r="U18" t="str">
            <v>Cust Ops</v>
          </cell>
          <cell r="V18" t="str">
            <v>Cust Cont</v>
          </cell>
          <cell r="W18" t="str">
            <v>Dist Ops</v>
          </cell>
          <cell r="X18" t="str">
            <v>Billing &amp; Rev Ops</v>
          </cell>
          <cell r="Y18" t="str">
            <v>Com Rel &amp; CSC</v>
          </cell>
          <cell r="Z18" t="str">
            <v>LCS &amp; AD</v>
          </cell>
          <cell r="AA18" t="str">
            <v>UM</v>
          </cell>
          <cell r="AB18" t="str">
            <v>RPA</v>
          </cell>
          <cell r="AC18" t="str">
            <v>VP &amp; Support</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s>
    <sheetDataSet>
      <sheetData sheetId="0" refreshError="1">
        <row r="8">
          <cell r="A8" t="str">
            <v>OSHA Recordable Incidence Rate</v>
          </cell>
          <cell r="B8" t="str">
            <v>L</v>
          </cell>
          <cell r="C8">
            <v>1.7597365674358549</v>
          </cell>
          <cell r="D8">
            <v>1.39</v>
          </cell>
          <cell r="E8" t="str">
            <v>é</v>
          </cell>
          <cell r="F8">
            <v>1.9961961373604742</v>
          </cell>
          <cell r="G8">
            <v>3.8676739808679059</v>
          </cell>
          <cell r="H8">
            <v>3.5881519223523926</v>
          </cell>
          <cell r="I8">
            <v>0</v>
          </cell>
          <cell r="J8">
            <v>2.3933035367043014</v>
          </cell>
          <cell r="K8">
            <v>0</v>
          </cell>
          <cell r="L8">
            <v>1.5976993129892954</v>
          </cell>
          <cell r="M8">
            <v>0</v>
          </cell>
          <cell r="N8">
            <v>0</v>
          </cell>
          <cell r="P8" t="str">
            <v>OSHA Recordable Incidence Rate</v>
          </cell>
          <cell r="Q8" t="str">
            <v>L</v>
          </cell>
          <cell r="R8">
            <v>1.387094014920508</v>
          </cell>
          <cell r="S8">
            <v>1.39</v>
          </cell>
          <cell r="T8" t="str">
            <v>+</v>
          </cell>
          <cell r="U8">
            <v>1.8769825628319914</v>
          </cell>
          <cell r="V8">
            <v>8.031698436496038</v>
          </cell>
          <cell r="W8">
            <v>0</v>
          </cell>
          <cell r="X8">
            <v>0</v>
          </cell>
          <cell r="Y8">
            <v>0</v>
          </cell>
          <cell r="Z8">
            <v>0</v>
          </cell>
          <cell r="AA8">
            <v>3.4326513799258547</v>
          </cell>
          <cell r="AB8">
            <v>0</v>
          </cell>
          <cell r="AC8">
            <v>0</v>
          </cell>
        </row>
        <row r="9">
          <cell r="A9" t="str">
            <v>OSHA Days Away Rate (Severity)</v>
          </cell>
          <cell r="B9" t="str">
            <v>L</v>
          </cell>
          <cell r="C9">
            <v>5.2792097023075648</v>
          </cell>
          <cell r="D9">
            <v>6.96</v>
          </cell>
          <cell r="E9" t="str">
            <v>é</v>
          </cell>
          <cell r="F9">
            <v>9.9809806868023703</v>
          </cell>
          <cell r="G9">
            <v>16.759920583760927</v>
          </cell>
          <cell r="H9">
            <v>38.273620505092182</v>
          </cell>
          <cell r="I9">
            <v>0</v>
          </cell>
          <cell r="J9">
            <v>0</v>
          </cell>
          <cell r="K9">
            <v>0</v>
          </cell>
          <cell r="L9">
            <v>0</v>
          </cell>
          <cell r="M9">
            <v>0</v>
          </cell>
          <cell r="N9">
            <v>0</v>
          </cell>
          <cell r="P9" t="str">
            <v>OSHA Days Away Rate (Severity)</v>
          </cell>
          <cell r="Q9" t="str">
            <v>L</v>
          </cell>
          <cell r="R9">
            <v>0.92472934328033862</v>
          </cell>
          <cell r="S9">
            <v>6.96</v>
          </cell>
          <cell r="T9" t="str">
            <v>+</v>
          </cell>
          <cell r="U9">
            <v>19.23907126902791</v>
          </cell>
          <cell r="V9">
            <v>34.804026558149495</v>
          </cell>
          <cell r="W9">
            <v>72.599987035716595</v>
          </cell>
          <cell r="X9">
            <v>0</v>
          </cell>
          <cell r="Y9">
            <v>0</v>
          </cell>
          <cell r="Z9">
            <v>0</v>
          </cell>
          <cell r="AA9">
            <v>0</v>
          </cell>
          <cell r="AB9">
            <v>0</v>
          </cell>
          <cell r="AC9">
            <v>0</v>
          </cell>
        </row>
        <row r="10">
          <cell r="A10" t="str">
            <v>Motor Vehicle Accident Rate</v>
          </cell>
          <cell r="B10" t="str">
            <v>L</v>
          </cell>
          <cell r="C10">
            <v>8.2090465834840405</v>
          </cell>
          <cell r="D10">
            <v>3.88</v>
          </cell>
          <cell r="E10" t="str">
            <v>é</v>
          </cell>
          <cell r="F10">
            <v>5.2058151558198089</v>
          </cell>
          <cell r="G10">
            <v>4.1961328439709966</v>
          </cell>
          <cell r="H10">
            <v>6.3046799639372306</v>
          </cell>
          <cell r="I10">
            <v>11.113580795732386</v>
          </cell>
          <cell r="J10">
            <v>3.0454054728981754</v>
          </cell>
          <cell r="K10">
            <v>0</v>
          </cell>
          <cell r="L10">
            <v>10.237300628570258</v>
          </cell>
          <cell r="M10">
            <v>0</v>
          </cell>
          <cell r="N10">
            <v>6.6074201328091444</v>
          </cell>
          <cell r="P10" t="str">
            <v>Motor Vehicle Accident Rate</v>
          </cell>
          <cell r="Q10" t="str">
            <v>L</v>
          </cell>
          <cell r="R10">
            <v>7.4125302894518956</v>
          </cell>
          <cell r="S10">
            <v>2.7534555867613855</v>
          </cell>
          <cell r="T10" t="str">
            <v>+</v>
          </cell>
          <cell r="U10">
            <v>5.2177973851008401</v>
          </cell>
          <cell r="V10">
            <v>0</v>
          </cell>
          <cell r="W10">
            <v>13.50329480393216</v>
          </cell>
          <cell r="X10">
            <v>7.9927745318232315</v>
          </cell>
          <cell r="Y10">
            <v>6.2524032675059473</v>
          </cell>
          <cell r="Z10">
            <v>0</v>
          </cell>
          <cell r="AA10">
            <v>10.005202705406811</v>
          </cell>
          <cell r="AB10">
            <v>0</v>
          </cell>
          <cell r="AC10">
            <v>0</v>
          </cell>
        </row>
        <row r="11">
          <cell r="A11" t="str">
            <v>Availability - Illness</v>
          </cell>
          <cell r="B11" t="str">
            <v>H</v>
          </cell>
          <cell r="C11">
            <v>0.96038512416568389</v>
          </cell>
          <cell r="D11">
            <v>0.97299999999999998</v>
          </cell>
          <cell r="E11" t="str">
            <v>é</v>
          </cell>
          <cell r="F11">
            <v>0.96104863526953177</v>
          </cell>
          <cell r="G11">
            <v>0.95759459024311711</v>
          </cell>
          <cell r="H11">
            <v>0.95925367627539759</v>
          </cell>
          <cell r="I11">
            <v>0.95618595694931574</v>
          </cell>
          <cell r="J11">
            <v>0.95912425560546055</v>
          </cell>
          <cell r="K11">
            <v>0.98849273721939257</v>
          </cell>
          <cell r="L11">
            <v>0.96478457546287644</v>
          </cell>
          <cell r="M11">
            <v>0.97386384376711077</v>
          </cell>
          <cell r="N11">
            <v>0.96172311631609619</v>
          </cell>
          <cell r="P11" t="str">
            <v>Availability - Illness</v>
          </cell>
          <cell r="Q11" t="str">
            <v>H</v>
          </cell>
          <cell r="R11">
            <v>0.95862018252789827</v>
          </cell>
          <cell r="S11">
            <v>0.97299999999999998</v>
          </cell>
          <cell r="T11" t="str">
            <v>+</v>
          </cell>
          <cell r="U11">
            <v>0.95992020081240836</v>
          </cell>
          <cell r="V11">
            <v>0.95850392155535857</v>
          </cell>
          <cell r="W11">
            <v>0.95665427004262404</v>
          </cell>
          <cell r="X11">
            <v>0.95738858483189992</v>
          </cell>
          <cell r="Y11">
            <v>0.95821434331154087</v>
          </cell>
          <cell r="Z11">
            <v>0.99512099921935993</v>
          </cell>
          <cell r="AA11">
            <v>0.96008455283554417</v>
          </cell>
          <cell r="AB11">
            <v>0.97048082775410838</v>
          </cell>
          <cell r="AC11">
            <v>0.95987557233231968</v>
          </cell>
        </row>
        <row r="12">
          <cell r="A12" t="str">
            <v>Staffing Levels - Permanent</v>
          </cell>
          <cell r="B12" t="str">
            <v>L</v>
          </cell>
          <cell r="C12">
            <v>2523</v>
          </cell>
          <cell r="D12">
            <v>2702</v>
          </cell>
          <cell r="E12" t="str">
            <v>é</v>
          </cell>
          <cell r="F12">
            <v>2659</v>
          </cell>
          <cell r="G12">
            <v>463</v>
          </cell>
          <cell r="H12">
            <v>444</v>
          </cell>
          <cell r="I12">
            <v>432</v>
          </cell>
          <cell r="J12">
            <v>505</v>
          </cell>
          <cell r="K12">
            <v>64</v>
          </cell>
          <cell r="L12">
            <v>403</v>
          </cell>
          <cell r="M12">
            <v>167</v>
          </cell>
          <cell r="N12">
            <v>181</v>
          </cell>
          <cell r="P12" t="str">
            <v>Staffing Levels - Permanent</v>
          </cell>
          <cell r="Q12" t="str">
            <v>L</v>
          </cell>
          <cell r="R12">
            <v>2523</v>
          </cell>
          <cell r="S12">
            <v>2702</v>
          </cell>
          <cell r="T12" t="str">
            <v>+</v>
          </cell>
          <cell r="U12">
            <v>2659</v>
          </cell>
          <cell r="V12">
            <v>463</v>
          </cell>
          <cell r="W12">
            <v>444</v>
          </cell>
          <cell r="X12">
            <v>432</v>
          </cell>
          <cell r="Y12">
            <v>505</v>
          </cell>
          <cell r="Z12">
            <v>64</v>
          </cell>
          <cell r="AA12">
            <v>403</v>
          </cell>
          <cell r="AB12">
            <v>167</v>
          </cell>
          <cell r="AC12">
            <v>181</v>
          </cell>
        </row>
        <row r="13">
          <cell r="A13" t="str">
            <v>Corporate Culture for Ethics and Compliance</v>
          </cell>
          <cell r="B13" t="str">
            <v>H</v>
          </cell>
          <cell r="C13" t="str">
            <v>Annual</v>
          </cell>
          <cell r="D13">
            <v>0.72</v>
          </cell>
          <cell r="E13" t="str">
            <v>é</v>
          </cell>
          <cell r="F13">
            <v>2716</v>
          </cell>
          <cell r="G13">
            <v>463</v>
          </cell>
          <cell r="H13">
            <v>441</v>
          </cell>
          <cell r="I13">
            <v>441</v>
          </cell>
          <cell r="J13">
            <v>506</v>
          </cell>
          <cell r="K13">
            <v>68</v>
          </cell>
          <cell r="L13">
            <v>401</v>
          </cell>
          <cell r="M13">
            <v>210</v>
          </cell>
          <cell r="N13">
            <v>186</v>
          </cell>
          <cell r="P13" t="str">
            <v>Corporate Culture for Ethics and Compliance</v>
          </cell>
          <cell r="Q13" t="str">
            <v>H</v>
          </cell>
          <cell r="R13">
            <v>2658</v>
          </cell>
          <cell r="S13">
            <v>0.72</v>
          </cell>
          <cell r="T13" t="str">
            <v>+</v>
          </cell>
          <cell r="U13">
            <v>2716</v>
          </cell>
          <cell r="V13">
            <v>463</v>
          </cell>
          <cell r="W13">
            <v>441</v>
          </cell>
          <cell r="X13">
            <v>441</v>
          </cell>
          <cell r="Y13">
            <v>506</v>
          </cell>
          <cell r="Z13">
            <v>68</v>
          </cell>
          <cell r="AA13">
            <v>401</v>
          </cell>
          <cell r="AB13">
            <v>210</v>
          </cell>
          <cell r="AC13">
            <v>186</v>
          </cell>
        </row>
        <row r="14">
          <cell r="A14" t="str">
            <v>Employee Development - MAST</v>
          </cell>
          <cell r="B14" t="str">
            <v>H</v>
          </cell>
          <cell r="C14" t="str">
            <v>Qtrly</v>
          </cell>
          <cell r="D14">
            <v>0.95</v>
          </cell>
          <cell r="E14" t="str">
            <v>é</v>
          </cell>
          <cell r="F14">
            <v>0.13450742450943215</v>
          </cell>
          <cell r="G14">
            <v>0.23405972558514931</v>
          </cell>
          <cell r="H14">
            <v>0.13882352941176471</v>
          </cell>
          <cell r="I14">
            <v>0.11278195488721804</v>
          </cell>
          <cell r="J14">
            <v>7.4626865671641784E-2</v>
          </cell>
          <cell r="K14">
            <v>0.16333938294010888</v>
          </cell>
          <cell r="L14">
            <v>9.7402597402597407E-2</v>
          </cell>
          <cell r="M14">
            <v>2.7777777777777776E-2</v>
          </cell>
          <cell r="N14">
            <v>0.21900505246793625</v>
          </cell>
          <cell r="P14" t="str">
            <v>Employee Development - MAST</v>
          </cell>
          <cell r="Q14" t="str">
            <v>H</v>
          </cell>
          <cell r="R14">
            <v>0.59</v>
          </cell>
          <cell r="S14">
            <v>0.23749999999999999</v>
          </cell>
          <cell r="T14" t="str">
            <v>+</v>
          </cell>
          <cell r="U14">
            <v>0.14895863540713972</v>
          </cell>
          <cell r="V14">
            <v>0.26526768899650255</v>
          </cell>
          <cell r="W14">
            <v>0.13882352941176471</v>
          </cell>
          <cell r="X14">
            <v>0.12030075187969924</v>
          </cell>
          <cell r="Y14">
            <v>7.4626865671641784E-2</v>
          </cell>
          <cell r="Z14">
            <v>0.16333938294010888</v>
          </cell>
          <cell r="AA14">
            <v>0.12337662337662338</v>
          </cell>
          <cell r="AB14">
            <v>2.7777777777777776E-2</v>
          </cell>
          <cell r="AC14">
            <v>0.24246987951807228</v>
          </cell>
        </row>
        <row r="15">
          <cell r="A15" t="str">
            <v>Employee Technical Trng - BU</v>
          </cell>
          <cell r="B15" t="str">
            <v>H</v>
          </cell>
          <cell r="C15" t="str">
            <v>Qtrly</v>
          </cell>
          <cell r="D15">
            <v>1</v>
          </cell>
          <cell r="E15" t="str">
            <v>é</v>
          </cell>
          <cell r="F15">
            <v>1.0077488256313487E-2</v>
          </cell>
          <cell r="G15">
            <v>2.0404377666481174E-3</v>
          </cell>
          <cell r="H15">
            <v>7.7339520494972935E-4</v>
          </cell>
          <cell r="I15">
            <v>7.7339520494972931E-3</v>
          </cell>
          <cell r="J15">
            <v>3.2992411745298581E-4</v>
          </cell>
          <cell r="K15">
            <v>2.9850746268656717E-3</v>
          </cell>
          <cell r="L15">
            <v>2.3809523809523808E-2</v>
          </cell>
          <cell r="M15">
            <v>0.25500910746812389</v>
          </cell>
          <cell r="N15">
            <v>0.98351449275362335</v>
          </cell>
          <cell r="P15" t="str">
            <v>Employee Technical Trng - BU</v>
          </cell>
          <cell r="Q15" t="str">
            <v>H</v>
          </cell>
          <cell r="S15">
            <v>0.25</v>
          </cell>
          <cell r="T15" t="str">
            <v>+</v>
          </cell>
          <cell r="U15">
            <v>0.32260007226884008</v>
          </cell>
          <cell r="V15">
            <v>0.3583750695603784</v>
          </cell>
          <cell r="W15">
            <v>0.32385924207269917</v>
          </cell>
          <cell r="X15">
            <v>0.20533642691415313</v>
          </cell>
          <cell r="Y15">
            <v>0.31788188716595184</v>
          </cell>
          <cell r="Z15">
            <v>0.10746268656716418</v>
          </cell>
          <cell r="AA15">
            <v>0.39622641509433965</v>
          </cell>
          <cell r="AB15">
            <v>0.94899817850637525</v>
          </cell>
        </row>
        <row r="16">
          <cell r="A16" t="str">
            <v>Hours To Work</v>
          </cell>
          <cell r="B16" t="str">
            <v>L</v>
          </cell>
          <cell r="C16">
            <v>1.0906035757494288</v>
          </cell>
          <cell r="D16" t="str">
            <v>NT</v>
          </cell>
          <cell r="E16" t="str">
            <v>é</v>
          </cell>
          <cell r="F16">
            <v>0.10290511975177491</v>
          </cell>
          <cell r="G16">
            <v>5.2625478292472036E-2</v>
          </cell>
          <cell r="H16">
            <v>0.11851284831522409</v>
          </cell>
          <cell r="I16">
            <v>0.18347440561121323</v>
          </cell>
          <cell r="J16">
            <v>7.1977874578675258E-2</v>
          </cell>
          <cell r="K16">
            <v>6.3576404525149247E-2</v>
          </cell>
          <cell r="L16">
            <v>0.98918918918918919</v>
          </cell>
          <cell r="M16">
            <v>1.7513661202185793</v>
          </cell>
          <cell r="P16" t="str">
            <v>Hours To Work</v>
          </cell>
          <cell r="Q16" t="str">
            <v>L</v>
          </cell>
          <cell r="T16" t="str">
            <v>+</v>
          </cell>
        </row>
        <row r="17">
          <cell r="A17" t="str">
            <v>Hours To Work</v>
          </cell>
          <cell r="B17" t="str">
            <v>L</v>
          </cell>
          <cell r="D17" t="str">
            <v>NT</v>
          </cell>
          <cell r="E17" t="str">
            <v>é</v>
          </cell>
          <cell r="F17">
            <v>3.1738001122913341E-2</v>
          </cell>
          <cell r="G17">
            <v>4.5582044243263752E-2</v>
          </cell>
          <cell r="H17">
            <v>3.2179458127554302E-2</v>
          </cell>
          <cell r="I17">
            <v>2.4860323221811777E-2</v>
          </cell>
          <cell r="J17">
            <v>1.6648718272135751E-2</v>
          </cell>
          <cell r="K17">
            <v>0.22059119468537494</v>
          </cell>
          <cell r="P17" t="str">
            <v>Hours To Work</v>
          </cell>
          <cell r="Q17" t="str">
            <v>L</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Gas Delivery"/>
      <sheetName val="Northern Div"/>
      <sheetName val="Central Div"/>
      <sheetName val="Southern Div"/>
      <sheetName val="GSOC M&amp;R"/>
      <sheetName val="DATA INPUT SHT"/>
    </sheetNames>
    <sheetDataSet>
      <sheetData sheetId="0" refreshError="1"/>
      <sheetData sheetId="1" refreshError="1">
        <row r="8">
          <cell r="A8" t="str">
            <v>OSHA Recordable Incidence Rate</v>
          </cell>
          <cell r="B8" t="str">
            <v>L</v>
          </cell>
          <cell r="C8">
            <v>3.11</v>
          </cell>
          <cell r="D8">
            <v>2.09</v>
          </cell>
          <cell r="E8" t="str">
            <v>é</v>
          </cell>
          <cell r="F8">
            <v>2.97</v>
          </cell>
          <cell r="G8">
            <v>1.79</v>
          </cell>
          <cell r="H8">
            <v>7.24</v>
          </cell>
          <cell r="I8">
            <v>1.66</v>
          </cell>
          <cell r="J8">
            <v>0</v>
          </cell>
          <cell r="K8">
            <v>0</v>
          </cell>
          <cell r="M8" t="str">
            <v>OSHA Recordable Incidence Rate</v>
          </cell>
          <cell r="N8" t="str">
            <v>L</v>
          </cell>
          <cell r="O8">
            <v>3.64</v>
          </cell>
          <cell r="P8">
            <v>2.09</v>
          </cell>
          <cell r="Q8" t="str">
            <v>+</v>
          </cell>
          <cell r="R8">
            <v>1.99</v>
          </cell>
          <cell r="S8">
            <v>2.0099999999999998</v>
          </cell>
          <cell r="T8">
            <v>2.71</v>
          </cell>
          <cell r="U8">
            <v>1.83</v>
          </cell>
          <cell r="V8">
            <v>0</v>
          </cell>
          <cell r="W8">
            <v>0</v>
          </cell>
        </row>
        <row r="9">
          <cell r="A9" t="str">
            <v>OSHA Days Away Rate (Severity)</v>
          </cell>
          <cell r="B9" t="str">
            <v>L</v>
          </cell>
          <cell r="C9">
            <v>0</v>
          </cell>
          <cell r="D9">
            <v>9.36</v>
          </cell>
          <cell r="E9" t="str">
            <v>é</v>
          </cell>
          <cell r="F9">
            <v>11.6</v>
          </cell>
          <cell r="G9">
            <v>0</v>
          </cell>
          <cell r="H9">
            <v>47.04</v>
          </cell>
          <cell r="I9">
            <v>0</v>
          </cell>
          <cell r="J9">
            <v>0</v>
          </cell>
          <cell r="K9">
            <v>0</v>
          </cell>
          <cell r="M9" t="str">
            <v>OSHA Days Away Rate (Severity)</v>
          </cell>
          <cell r="N9" t="str">
            <v>L</v>
          </cell>
          <cell r="O9">
            <v>0</v>
          </cell>
          <cell r="P9">
            <v>9.36</v>
          </cell>
          <cell r="Q9" t="str">
            <v>-</v>
          </cell>
          <cell r="R9">
            <v>18.54</v>
          </cell>
          <cell r="S9">
            <v>0</v>
          </cell>
          <cell r="T9">
            <v>75.849999999999994</v>
          </cell>
          <cell r="U9">
            <v>0</v>
          </cell>
          <cell r="V9">
            <v>0</v>
          </cell>
          <cell r="W9">
            <v>0</v>
          </cell>
        </row>
        <row r="10">
          <cell r="A10" t="str">
            <v>Motor Vehicle Accident Rate</v>
          </cell>
          <cell r="B10" t="str">
            <v>L</v>
          </cell>
          <cell r="C10">
            <v>6.34</v>
          </cell>
          <cell r="D10">
            <v>2.98</v>
          </cell>
          <cell r="E10" t="str">
            <v>é</v>
          </cell>
          <cell r="F10">
            <v>2.5299999999999998</v>
          </cell>
          <cell r="G10">
            <v>1.6</v>
          </cell>
          <cell r="H10">
            <v>3.99</v>
          </cell>
          <cell r="I10">
            <v>2.65</v>
          </cell>
          <cell r="J10">
            <v>0</v>
          </cell>
          <cell r="K10">
            <v>0</v>
          </cell>
          <cell r="M10" t="str">
            <v>Motor Vehicle Accident Rate</v>
          </cell>
          <cell r="N10" t="str">
            <v>L</v>
          </cell>
          <cell r="O10">
            <v>7.04</v>
          </cell>
          <cell r="P10">
            <v>2.98</v>
          </cell>
          <cell r="Q10" t="str">
            <v>+</v>
          </cell>
          <cell r="R10">
            <v>1.04</v>
          </cell>
          <cell r="S10">
            <v>3.33</v>
          </cell>
          <cell r="T10">
            <v>0</v>
          </cell>
          <cell r="U10">
            <v>0</v>
          </cell>
          <cell r="V10">
            <v>0</v>
          </cell>
          <cell r="W10">
            <v>0</v>
          </cell>
        </row>
        <row r="11">
          <cell r="A11" t="str">
            <v>Staffing Levels - Permanent</v>
          </cell>
          <cell r="B11" t="str">
            <v>L</v>
          </cell>
          <cell r="C11">
            <v>2009</v>
          </cell>
          <cell r="D11">
            <v>2016</v>
          </cell>
          <cell r="E11" t="str">
            <v>é</v>
          </cell>
          <cell r="F11">
            <v>1988</v>
          </cell>
          <cell r="G11">
            <v>641</v>
          </cell>
          <cell r="H11">
            <v>475</v>
          </cell>
          <cell r="I11">
            <v>728</v>
          </cell>
          <cell r="J11">
            <v>67</v>
          </cell>
          <cell r="K11">
            <v>77</v>
          </cell>
          <cell r="M11" t="str">
            <v>Staffing Levels - Permanent</v>
          </cell>
          <cell r="N11" t="str">
            <v>H</v>
          </cell>
          <cell r="O11">
            <v>2009</v>
          </cell>
          <cell r="P11">
            <v>2016</v>
          </cell>
          <cell r="Q11" t="str">
            <v>+</v>
          </cell>
          <cell r="R11">
            <v>1988</v>
          </cell>
          <cell r="S11">
            <v>641</v>
          </cell>
          <cell r="T11">
            <v>475</v>
          </cell>
          <cell r="U11">
            <v>728</v>
          </cell>
          <cell r="V11">
            <v>67</v>
          </cell>
          <cell r="W11">
            <v>77</v>
          </cell>
        </row>
        <row r="12">
          <cell r="A12" t="str">
            <v>Availability - Illness</v>
          </cell>
          <cell r="B12" t="str">
            <v>H</v>
          </cell>
          <cell r="C12">
            <v>0.96599999999999997</v>
          </cell>
          <cell r="D12">
            <v>0.97299999999999998</v>
          </cell>
          <cell r="E12" t="str">
            <v>é</v>
          </cell>
          <cell r="F12">
            <v>0.96299999999999997</v>
          </cell>
          <cell r="G12">
            <v>0.97099100041519448</v>
          </cell>
          <cell r="H12">
            <v>0.95393422499614888</v>
          </cell>
          <cell r="I12">
            <v>0.96199999999999997</v>
          </cell>
          <cell r="J12">
            <v>0.95099999999999996</v>
          </cell>
          <cell r="K12">
            <v>0.98</v>
          </cell>
          <cell r="M12" t="str">
            <v>Availability - Illness</v>
          </cell>
          <cell r="N12" t="str">
            <v>L</v>
          </cell>
          <cell r="O12">
            <v>0.96199999999999997</v>
          </cell>
          <cell r="P12">
            <v>0.97299999999999998</v>
          </cell>
          <cell r="Q12" t="str">
            <v>-</v>
          </cell>
          <cell r="R12">
            <v>0.96399999999999997</v>
          </cell>
          <cell r="S12">
            <v>0.97083816408647616</v>
          </cell>
          <cell r="T12">
            <v>0.95366276042574727</v>
          </cell>
          <cell r="U12">
            <v>0.96199999999999997</v>
          </cell>
          <cell r="V12">
            <v>0.95299999999999996</v>
          </cell>
          <cell r="W12">
            <v>0.98599999999999999</v>
          </cell>
        </row>
        <row r="13">
          <cell r="A13" t="str">
            <v>Corporate Culture for Ethics &amp; Compliance</v>
          </cell>
          <cell r="B13" t="str">
            <v>H</v>
          </cell>
          <cell r="C13" t="str">
            <v>N/A</v>
          </cell>
          <cell r="D13">
            <v>0.68</v>
          </cell>
          <cell r="E13" t="str">
            <v>é</v>
          </cell>
          <cell r="F13" t="str">
            <v>Qtrly</v>
          </cell>
          <cell r="G13" t="str">
            <v>Qtrly</v>
          </cell>
          <cell r="H13" t="str">
            <v>Qtrly</v>
          </cell>
          <cell r="I13" t="str">
            <v>Qtrly</v>
          </cell>
          <cell r="J13" t="str">
            <v>Qtrly</v>
          </cell>
          <cell r="K13" t="str">
            <v>Qtrly</v>
          </cell>
          <cell r="M13" t="str">
            <v>Corporate Culture for Ethics &amp; Compliance</v>
          </cell>
          <cell r="N13" t="str">
            <v>H</v>
          </cell>
          <cell r="O13" t="str">
            <v>N/A</v>
          </cell>
          <cell r="P13">
            <v>0.7</v>
          </cell>
          <cell r="Q13" t="str">
            <v>+</v>
          </cell>
          <cell r="R13" t="str">
            <v>Qtrly</v>
          </cell>
          <cell r="S13" t="str">
            <v>Qtrly</v>
          </cell>
          <cell r="T13" t="str">
            <v>Qtrly</v>
          </cell>
          <cell r="U13" t="str">
            <v>Qtrly</v>
          </cell>
          <cell r="V13" t="str">
            <v>Qtrly</v>
          </cell>
          <cell r="W13" t="str">
            <v>Qtrly</v>
          </cell>
        </row>
        <row r="14">
          <cell r="A14" t="str">
            <v>Employee Development -MAST</v>
          </cell>
          <cell r="B14" t="str">
            <v>H</v>
          </cell>
          <cell r="C14" t="str">
            <v>Qtrly</v>
          </cell>
          <cell r="D14">
            <v>0.95</v>
          </cell>
          <cell r="E14" t="str">
            <v>é</v>
          </cell>
          <cell r="F14" t="str">
            <v>Qtrly</v>
          </cell>
          <cell r="G14" t="str">
            <v>Qtrly</v>
          </cell>
          <cell r="H14" t="str">
            <v>Qtrly</v>
          </cell>
          <cell r="I14" t="str">
            <v>Qtrly</v>
          </cell>
          <cell r="J14" t="str">
            <v>Qtrly</v>
          </cell>
          <cell r="K14" t="str">
            <v>Qtrly</v>
          </cell>
          <cell r="M14" t="str">
            <v>Employee Development -MAST</v>
          </cell>
          <cell r="N14" t="str">
            <v>H</v>
          </cell>
          <cell r="O14" t="str">
            <v>Qtrly</v>
          </cell>
          <cell r="P14">
            <v>0.95</v>
          </cell>
          <cell r="Q14" t="str">
            <v>+</v>
          </cell>
          <cell r="R14" t="str">
            <v>Qtrly</v>
          </cell>
          <cell r="S14" t="str">
            <v>Qtrly</v>
          </cell>
          <cell r="T14" t="str">
            <v>Qtrly</v>
          </cell>
          <cell r="U14" t="str">
            <v>Qtrly</v>
          </cell>
          <cell r="V14" t="str">
            <v>Qtrly</v>
          </cell>
          <cell r="W14" t="str">
            <v>Qtrly</v>
          </cell>
        </row>
        <row r="15">
          <cell r="A15" t="str">
            <v>Employee Technical Trng - BU</v>
          </cell>
          <cell r="B15" t="str">
            <v>H</v>
          </cell>
          <cell r="C15" t="str">
            <v>Qtrly</v>
          </cell>
          <cell r="D15">
            <v>1</v>
          </cell>
          <cell r="E15" t="str">
            <v>é</v>
          </cell>
          <cell r="F15" t="str">
            <v>Qtrly</v>
          </cell>
          <cell r="G15" t="str">
            <v>Qtrly</v>
          </cell>
          <cell r="H15" t="str">
            <v>Qtrly</v>
          </cell>
          <cell r="I15" t="str">
            <v>Qtrly</v>
          </cell>
          <cell r="J15" t="str">
            <v>Qtrly</v>
          </cell>
          <cell r="M15" t="str">
            <v>Employee Technical Trng - BU</v>
          </cell>
          <cell r="N15" t="str">
            <v>H</v>
          </cell>
          <cell r="O15" t="str">
            <v>Qtrly</v>
          </cell>
          <cell r="P15">
            <v>1</v>
          </cell>
          <cell r="R15" t="str">
            <v>Qtrly</v>
          </cell>
          <cell r="S15" t="str">
            <v>Qtrly</v>
          </cell>
          <cell r="T15" t="str">
            <v>Qtrly</v>
          </cell>
          <cell r="U15" t="str">
            <v>Qtrly</v>
          </cell>
          <cell r="V15" t="str">
            <v>Qtrly</v>
          </cell>
        </row>
      </sheetData>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Availability_Month"/>
      <sheetName val="OT_Month"/>
      <sheetName val="StaffLvlPerm_Month"/>
      <sheetName val="MastDev_Month"/>
      <sheetName val="SuccessionPlan"/>
      <sheetName val="CultureEthics"/>
      <sheetName val="TrainingBU"/>
      <sheetName val="FringeRate"/>
      <sheetName val="Data_OSHA"/>
      <sheetName val="Data_OSHASeverity"/>
      <sheetName val="Data_MVARate"/>
      <sheetName val="Data_Availability"/>
      <sheetName val="Data_OT"/>
      <sheetName val="Data_StaffLvlPerm"/>
      <sheetName val="Data_MastDev"/>
      <sheetName val="Data_SuccessionPlan"/>
      <sheetName val="Data_CultureEthics"/>
      <sheetName val="Data_TrainingBU"/>
      <sheetName val="Data_FringeRate"/>
      <sheetName val="OSHA_Qtr_YTD"/>
      <sheetName val="OSHASeverity_Qtr_YTD"/>
      <sheetName val="MVARate_Qtr_YTD"/>
      <sheetName val="Availability_Qtr_YTD"/>
      <sheetName val="OT_Qtr_YTD"/>
      <sheetName val="StaffLvlPerm_Qtr_YTD"/>
      <sheetName val="MastDev_Qtr_YTD"/>
      <sheetName val="SuccessionPlan_Qtr_YTD"/>
      <sheetName val="CultureEthics_Qtr_YTD"/>
      <sheetName val="TrainingBU_Qtr_YTD"/>
      <sheetName val="FringeRate_Qtr_YTD"/>
      <sheetName val="People_Metrics_Master"/>
    </sheetNames>
    <sheetDataSet>
      <sheetData sheetId="0" refreshError="1">
        <row r="8">
          <cell r="A8" t="str">
            <v>OSHA Recordable Incidence Rate</v>
          </cell>
          <cell r="B8" t="str">
            <v>L</v>
          </cell>
          <cell r="C8">
            <v>2.02</v>
          </cell>
          <cell r="D8">
            <v>1.8</v>
          </cell>
          <cell r="E8" t="str">
            <v>é</v>
          </cell>
          <cell r="F8">
            <v>1.75</v>
          </cell>
          <cell r="G8">
            <v>1.21</v>
          </cell>
          <cell r="H8">
            <v>2.2000000000000002</v>
          </cell>
          <cell r="I8">
            <v>1.7716194643412808</v>
          </cell>
          <cell r="J8">
            <v>0</v>
          </cell>
          <cell r="L8" t="str">
            <v>OSHA Recordable Incidence Rate</v>
          </cell>
          <cell r="M8" t="str">
            <v>L</v>
          </cell>
          <cell r="N8">
            <v>1.4372491871842543</v>
          </cell>
          <cell r="O8">
            <v>1.8</v>
          </cell>
          <cell r="P8" t="str">
            <v>+</v>
          </cell>
          <cell r="Q8">
            <v>1.33</v>
          </cell>
          <cell r="R8">
            <v>0.79</v>
          </cell>
          <cell r="S8">
            <v>2.2400000000000002</v>
          </cell>
          <cell r="T8">
            <v>0.92271234523374668</v>
          </cell>
          <cell r="U8">
            <v>0</v>
          </cell>
          <cell r="V8" t="str">
            <v>M</v>
          </cell>
        </row>
        <row r="9">
          <cell r="A9" t="str">
            <v>OSHA Days Away Rate (Severity)</v>
          </cell>
          <cell r="B9" t="str">
            <v>L</v>
          </cell>
          <cell r="C9">
            <v>9.18</v>
          </cell>
          <cell r="D9">
            <v>7.94</v>
          </cell>
          <cell r="E9" t="str">
            <v>ê</v>
          </cell>
          <cell r="F9">
            <v>17.48</v>
          </cell>
          <cell r="G9">
            <v>20.25</v>
          </cell>
          <cell r="H9">
            <v>13.3</v>
          </cell>
          <cell r="I9">
            <v>19.487814107754087</v>
          </cell>
          <cell r="J9">
            <v>0</v>
          </cell>
          <cell r="L9" t="str">
            <v>OSHA Days Away Rate (Severity)</v>
          </cell>
          <cell r="M9" t="str">
            <v>L</v>
          </cell>
          <cell r="N9">
            <v>13.67</v>
          </cell>
          <cell r="O9">
            <v>7.94</v>
          </cell>
          <cell r="P9" t="str">
            <v>-</v>
          </cell>
          <cell r="Q9">
            <v>13.67</v>
          </cell>
          <cell r="R9">
            <v>11.84</v>
          </cell>
          <cell r="S9">
            <v>3.36</v>
          </cell>
          <cell r="T9">
            <v>23.529164803460542</v>
          </cell>
          <cell r="U9">
            <v>0</v>
          </cell>
          <cell r="V9" t="str">
            <v>M</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M</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M</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J12">
            <v>0</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V12" t="str">
            <v>M</v>
          </cell>
        </row>
        <row r="13">
          <cell r="A13" t="str">
            <v>Staffing Levels - Permanent</v>
          </cell>
          <cell r="B13" t="str">
            <v>L</v>
          </cell>
          <cell r="C13">
            <v>6318</v>
          </cell>
          <cell r="D13">
            <v>6502</v>
          </cell>
          <cell r="E13" t="str">
            <v>é</v>
          </cell>
          <cell r="F13">
            <v>6352</v>
          </cell>
          <cell r="G13">
            <v>1511</v>
          </cell>
          <cell r="H13">
            <v>2055</v>
          </cell>
          <cell r="I13">
            <v>2722</v>
          </cell>
          <cell r="J13">
            <v>64</v>
          </cell>
          <cell r="L13" t="str">
            <v>Staffing Levels - Permanent</v>
          </cell>
          <cell r="M13" t="str">
            <v>L</v>
          </cell>
          <cell r="O13" t="str">
            <v xml:space="preserve"> </v>
          </cell>
          <cell r="P13" t="str">
            <v xml:space="preserve"> </v>
          </cell>
          <cell r="V13" t="str">
            <v>M</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L14" t="str">
            <v>Employee Development - MAST</v>
          </cell>
          <cell r="M14" t="str">
            <v>H</v>
          </cell>
          <cell r="N14">
            <v>0</v>
          </cell>
          <cell r="O14" t="str">
            <v xml:space="preserve"> </v>
          </cell>
          <cell r="P14" t="str">
            <v>+</v>
          </cell>
          <cell r="Q14">
            <v>0</v>
          </cell>
          <cell r="R14">
            <v>0.78</v>
          </cell>
          <cell r="S14">
            <v>0</v>
          </cell>
          <cell r="T14">
            <v>0.7411271062271062</v>
          </cell>
          <cell r="U14">
            <v>0.05</v>
          </cell>
          <cell r="V14" t="str">
            <v>Q</v>
          </cell>
        </row>
        <row r="15">
          <cell r="A15" t="str">
            <v>Succession Planning</v>
          </cell>
          <cell r="B15" t="str">
            <v>H</v>
          </cell>
          <cell r="C15">
            <v>0.64615384615384619</v>
          </cell>
          <cell r="D15">
            <v>0.73799999999999999</v>
          </cell>
          <cell r="E15" t="str">
            <v>é</v>
          </cell>
          <cell r="F15">
            <v>0.73015873015873012</v>
          </cell>
          <cell r="L15" t="str">
            <v>Succession Planning</v>
          </cell>
          <cell r="M15" t="str">
            <v>H</v>
          </cell>
          <cell r="P15" t="str">
            <v>-</v>
          </cell>
          <cell r="Q15">
            <v>0.73807692307692307</v>
          </cell>
          <cell r="V15" t="str">
            <v>Q</v>
          </cell>
        </row>
        <row r="16">
          <cell r="A16" t="str">
            <v>Corporate Culture for Ethics and Compliance</v>
          </cell>
          <cell r="B16" t="str">
            <v>H</v>
          </cell>
          <cell r="D16">
            <v>0.66</v>
          </cell>
          <cell r="E16" t="str">
            <v>çè</v>
          </cell>
          <cell r="F16" t="str">
            <v>Annual</v>
          </cell>
          <cell r="G16" t="str">
            <v>Annual</v>
          </cell>
          <cell r="L16" t="str">
            <v>Corporate Culture for Ethics and Compliance</v>
          </cell>
          <cell r="M16" t="str">
            <v>H</v>
          </cell>
          <cell r="P16" t="str">
            <v>+</v>
          </cell>
          <cell r="Q16" t="str">
            <v>Annual</v>
          </cell>
          <cell r="V16" t="str">
            <v>Q</v>
          </cell>
        </row>
        <row r="17">
          <cell r="A17" t="str">
            <v>Employee Technical Training - BU</v>
          </cell>
          <cell r="B17" t="str">
            <v>H</v>
          </cell>
          <cell r="C17">
            <v>0.64300000000000002</v>
          </cell>
          <cell r="D17">
            <v>1</v>
          </cell>
          <cell r="E17" t="str">
            <v>é</v>
          </cell>
          <cell r="F17">
            <v>0.7833939799591938</v>
          </cell>
          <cell r="G17">
            <v>1.02</v>
          </cell>
          <cell r="H17">
            <v>0.96409999999999996</v>
          </cell>
          <cell r="I17">
            <v>0.82999940992506049</v>
          </cell>
          <cell r="L17" t="str">
            <v>Employee Technical Training - BU</v>
          </cell>
          <cell r="M17" t="str">
            <v>H</v>
          </cell>
          <cell r="N17">
            <v>0.2</v>
          </cell>
          <cell r="O17" t="str">
            <v xml:space="preserve"> </v>
          </cell>
          <cell r="P17" t="str">
            <v>-</v>
          </cell>
          <cell r="Q17">
            <v>0.7833939799591938</v>
          </cell>
          <cell r="R17" t="str">
            <v>Quarterly</v>
          </cell>
          <cell r="S17">
            <v>0</v>
          </cell>
          <cell r="T17">
            <v>0.31191361302885467</v>
          </cell>
          <cell r="V17" t="str">
            <v>Q</v>
          </cell>
        </row>
        <row r="18">
          <cell r="A18" t="str">
            <v>Fringe Benefit Rate</v>
          </cell>
          <cell r="B18" t="str">
            <v>L</v>
          </cell>
          <cell r="C18">
            <v>0.30941935511527424</v>
          </cell>
          <cell r="D18">
            <v>0.50449999999999995</v>
          </cell>
          <cell r="E18" t="str">
            <v>é</v>
          </cell>
          <cell r="F18">
            <v>0.48480434542471712</v>
          </cell>
          <cell r="L18" t="str">
            <v>Fringe Benefit Rate</v>
          </cell>
          <cell r="M18" t="str">
            <v>L</v>
          </cell>
          <cell r="N18">
            <v>0.30941935511527424</v>
          </cell>
          <cell r="Q18">
            <v>0.48480434542471712</v>
          </cell>
          <cell r="V18" t="str">
            <v>M</v>
          </cell>
        </row>
        <row r="20">
          <cell r="A20" t="str">
            <v>SAFE,  RELIABLE</v>
          </cell>
          <cell r="B20" t="str">
            <v>PSE&amp;G</v>
          </cell>
        </row>
        <row r="21">
          <cell r="B21" t="str">
            <v>L/H</v>
          </cell>
          <cell r="C21" t="str">
            <v>Nov 08 YTD</v>
          </cell>
          <cell r="D21" t="str">
            <v>2009 Target</v>
          </cell>
          <cell r="E21" t="str">
            <v>YE Forecast</v>
          </cell>
          <cell r="F21" t="str">
            <v>PSE&amp;G</v>
          </cell>
          <cell r="G21" t="str">
            <v>Cust Ops</v>
          </cell>
          <cell r="H21" t="str">
            <v>Gas</v>
          </cell>
          <cell r="I21" t="str">
            <v>Electric</v>
          </cell>
          <cell r="J21"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9Consolidated"/>
      <sheetName val="790MAINT"/>
      <sheetName val="790DTAIL"/>
      <sheetName val="735DTAIL"/>
      <sheetName val="940DTAIL"/>
      <sheetName val="743DTAIL"/>
      <sheetName val="745DTAIL"/>
      <sheetName val="744DTAIL"/>
      <sheetName val="723DTAIL"/>
      <sheetName val="756DTAIL"/>
      <sheetName val="701DTAIL"/>
      <sheetName val="General Assume"/>
      <sheetName val="SAP-Consolidated"/>
      <sheetName val="Corp. Mdl."/>
      <sheetName val="HWINVEN.XLS"/>
      <sheetName val="SWINVEN.XLS"/>
      <sheetName val="TELCO98.XLS"/>
      <sheetName val="REV98CONS"/>
      <sheetName val="97-98 DELTA"/>
      <sheetName val="Module1"/>
    </sheetNames>
    <sheetDataSet>
      <sheetData sheetId="0" refreshError="1">
        <row r="40">
          <cell r="L40">
            <v>31500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sheetName val="Definitions"/>
      <sheetName val="Initiatives"/>
      <sheetName val="Sheet2"/>
      <sheetName val="Sheet1"/>
    </sheetNames>
    <sheetDataSet>
      <sheetData sheetId="0" refreshError="1">
        <row r="8">
          <cell r="A8" t="str">
            <v>OSHA Recordable Incidence Rate</v>
          </cell>
          <cell r="B8" t="str">
            <v>L</v>
          </cell>
          <cell r="D8" t="str">
            <v>L</v>
          </cell>
          <cell r="E8" t="str">
            <v>é</v>
          </cell>
          <cell r="F8">
            <v>0</v>
          </cell>
          <cell r="G8" t="str">
            <v>é</v>
          </cell>
          <cell r="H8">
            <v>0</v>
          </cell>
          <cell r="I8" t="str">
            <v>L</v>
          </cell>
          <cell r="J8" t="str">
            <v>OSHA Recordable Incidence Rate</v>
          </cell>
          <cell r="K8" t="str">
            <v>L</v>
          </cell>
          <cell r="L8" t="str">
            <v>¡</v>
          </cell>
          <cell r="M8">
            <v>0</v>
          </cell>
        </row>
        <row r="9">
          <cell r="A9" t="str">
            <v>OSHA Days Away Rate (Severity)</v>
          </cell>
          <cell r="B9" t="str">
            <v>L</v>
          </cell>
          <cell r="D9" t="str">
            <v>L</v>
          </cell>
          <cell r="E9" t="str">
            <v>é</v>
          </cell>
          <cell r="F9">
            <v>0</v>
          </cell>
          <cell r="G9" t="str">
            <v>é</v>
          </cell>
          <cell r="H9">
            <v>0</v>
          </cell>
          <cell r="I9" t="str">
            <v>L</v>
          </cell>
          <cell r="J9" t="str">
            <v>OSHA Days Away Rate (Severity)</v>
          </cell>
          <cell r="K9" t="str">
            <v>L</v>
          </cell>
          <cell r="L9" t="str">
            <v>¡</v>
          </cell>
          <cell r="M9">
            <v>0</v>
          </cell>
        </row>
        <row r="10">
          <cell r="A10" t="str">
            <v>Availability - Illness</v>
          </cell>
          <cell r="B10" t="str">
            <v>H</v>
          </cell>
          <cell r="C10" t="str">
            <v>*</v>
          </cell>
          <cell r="D10" t="str">
            <v>H</v>
          </cell>
          <cell r="E10" t="str">
            <v>é</v>
          </cell>
          <cell r="F10">
            <v>0.98399999999999999</v>
          </cell>
          <cell r="G10" t="str">
            <v>é</v>
          </cell>
          <cell r="H10">
            <v>0.99399999999999999</v>
          </cell>
          <cell r="I10" t="str">
            <v>H</v>
          </cell>
          <cell r="J10" t="str">
            <v>Availability - Illness</v>
          </cell>
          <cell r="K10" t="str">
            <v>H</v>
          </cell>
          <cell r="L10" t="str">
            <v>¡</v>
          </cell>
          <cell r="M10">
            <v>0.98399999999999999</v>
          </cell>
        </row>
        <row r="11">
          <cell r="A11" t="str">
            <v xml:space="preserve">Staffing Levels - Total </v>
          </cell>
          <cell r="B11" t="str">
            <v>*</v>
          </cell>
          <cell r="C11" t="str">
            <v>*</v>
          </cell>
          <cell r="D11" t="str">
            <v>L</v>
          </cell>
          <cell r="E11" t="str">
            <v>é</v>
          </cell>
          <cell r="F11">
            <v>17</v>
          </cell>
          <cell r="G11" t="str">
            <v>é</v>
          </cell>
          <cell r="H11">
            <v>17</v>
          </cell>
          <cell r="I11" t="str">
            <v>L</v>
          </cell>
          <cell r="J11" t="str">
            <v xml:space="preserve">Staffing Levels - Total </v>
          </cell>
          <cell r="K11" t="str">
            <v>L</v>
          </cell>
          <cell r="L11" t="str">
            <v>¡</v>
          </cell>
          <cell r="M11">
            <v>17</v>
          </cell>
        </row>
        <row r="12">
          <cell r="A12" t="str">
            <v>Corporate Culture for Ethics and Compliance</v>
          </cell>
          <cell r="B12" t="str">
            <v>*</v>
          </cell>
          <cell r="C12" t="str">
            <v>*</v>
          </cell>
          <cell r="D12" t="str">
            <v>H</v>
          </cell>
          <cell r="E12" t="str">
            <v>é</v>
          </cell>
          <cell r="F12">
            <v>0.7</v>
          </cell>
          <cell r="G12" t="str">
            <v>é</v>
          </cell>
          <cell r="H12" t="str">
            <v>QTRLY</v>
          </cell>
          <cell r="I12" t="str">
            <v>H</v>
          </cell>
          <cell r="J12" t="str">
            <v>Corporate Culture for Ethics and Compliance</v>
          </cell>
          <cell r="K12" t="str">
            <v>H</v>
          </cell>
          <cell r="L12" t="str">
            <v>¡</v>
          </cell>
          <cell r="M12" t="str">
            <v>Qtrly</v>
          </cell>
        </row>
        <row r="13">
          <cell r="A13" t="str">
            <v>Employee Development -MAST</v>
          </cell>
          <cell r="B13" t="str">
            <v>*</v>
          </cell>
          <cell r="C13" t="str">
            <v>*</v>
          </cell>
          <cell r="D13" t="str">
            <v>H</v>
          </cell>
          <cell r="E13" t="str">
            <v>é</v>
          </cell>
          <cell r="F13">
            <v>0.95</v>
          </cell>
          <cell r="G13" t="str">
            <v>é</v>
          </cell>
          <cell r="H13" t="str">
            <v>QTRLY</v>
          </cell>
          <cell r="I13" t="str">
            <v>H</v>
          </cell>
          <cell r="J13" t="str">
            <v>Employee Development -MAST</v>
          </cell>
          <cell r="K13" t="str">
            <v>H</v>
          </cell>
          <cell r="L13" t="str">
            <v>¡</v>
          </cell>
          <cell r="M13" t="str">
            <v>Qtrly</v>
          </cell>
        </row>
        <row r="17">
          <cell r="A17" t="str">
            <v>Solar Loan Program - Approved Capacity (DC MW) (NOT CLOSED)</v>
          </cell>
          <cell r="B17" t="str">
            <v>*</v>
          </cell>
          <cell r="D17" t="str">
            <v xml:space="preserve">H </v>
          </cell>
          <cell r="E17" t="str">
            <v>é</v>
          </cell>
          <cell r="F17">
            <v>19.170000000000002</v>
          </cell>
          <cell r="G17" t="str">
            <v>é</v>
          </cell>
          <cell r="H17">
            <v>9.6930229999999984</v>
          </cell>
          <cell r="I17" t="str">
            <v>L</v>
          </cell>
          <cell r="J17" t="str">
            <v>Solar Loan Program - Approved Capacity (DC MW) (NOT CLOSED)</v>
          </cell>
          <cell r="K17" t="str">
            <v xml:space="preserve">H </v>
          </cell>
          <cell r="L17" t="str">
            <v>+</v>
          </cell>
          <cell r="M17">
            <v>1.1981250000000001</v>
          </cell>
          <cell r="N17" t="str">
            <v>-</v>
          </cell>
          <cell r="O17">
            <v>0.52988000000000002</v>
          </cell>
          <cell r="R17" t="str">
            <v>Reported Monthly</v>
          </cell>
        </row>
        <row r="18">
          <cell r="A18" t="str">
            <v>Solar Loan Prog - Avg Time to Approve</v>
          </cell>
          <cell r="B18" t="str">
            <v>*</v>
          </cell>
          <cell r="D18" t="str">
            <v>L</v>
          </cell>
          <cell r="E18" t="str">
            <v>é</v>
          </cell>
          <cell r="F18">
            <v>56</v>
          </cell>
          <cell r="G18" t="str">
            <v>é</v>
          </cell>
          <cell r="H18">
            <v>63.963963963963963</v>
          </cell>
          <cell r="I18" t="str">
            <v>H</v>
          </cell>
          <cell r="J18" t="str">
            <v>Solar Loan Prog - Avg Time to Approve</v>
          </cell>
          <cell r="K18" t="str">
            <v>L</v>
          </cell>
          <cell r="L18" t="str">
            <v>+</v>
          </cell>
          <cell r="M18">
            <v>56</v>
          </cell>
          <cell r="N18" t="str">
            <v>¡</v>
          </cell>
          <cell r="O18">
            <v>41</v>
          </cell>
          <cell r="R18" t="str">
            <v>Reported Monthly</v>
          </cell>
        </row>
        <row r="19">
          <cell r="A19" t="str">
            <v>Standard Offer Invoice Average Turnaround Time (Days)</v>
          </cell>
          <cell r="B19" t="str">
            <v>*</v>
          </cell>
          <cell r="C19" t="str">
            <v>*</v>
          </cell>
          <cell r="D19" t="str">
            <v>L</v>
          </cell>
          <cell r="E19">
            <v>10.71</v>
          </cell>
          <cell r="F19">
            <v>15</v>
          </cell>
          <cell r="G19" t="str">
            <v>é</v>
          </cell>
          <cell r="H19">
            <v>10.4</v>
          </cell>
          <cell r="I19" t="str">
            <v>H</v>
          </cell>
          <cell r="J19" t="str">
            <v>Standard Offer Invoice Average Turnaround Time (Days)</v>
          </cell>
          <cell r="K19" t="str">
            <v>L</v>
          </cell>
          <cell r="L19">
            <v>12.38</v>
          </cell>
          <cell r="M19">
            <v>15</v>
          </cell>
          <cell r="N19" t="str">
            <v>¡</v>
          </cell>
          <cell r="O19">
            <v>9.82</v>
          </cell>
          <cell r="R19" t="str">
            <v>Reported Monthly</v>
          </cell>
        </row>
        <row r="20">
          <cell r="A20" t="str">
            <v>Comfort Partner Invoices - Payment Approval Time (Days)</v>
          </cell>
          <cell r="B20" t="str">
            <v>*</v>
          </cell>
          <cell r="C20" t="str">
            <v>*</v>
          </cell>
          <cell r="D20" t="str">
            <v>L</v>
          </cell>
          <cell r="E20">
            <v>2</v>
          </cell>
          <cell r="F20">
            <v>5</v>
          </cell>
          <cell r="G20" t="str">
            <v>é</v>
          </cell>
          <cell r="H20">
            <v>3</v>
          </cell>
          <cell r="I20" t="str">
            <v>H</v>
          </cell>
          <cell r="J20" t="str">
            <v>Comfort Partner Invoices - Payment Approval Time (Days)</v>
          </cell>
          <cell r="K20" t="str">
            <v>L</v>
          </cell>
          <cell r="L20">
            <v>1</v>
          </cell>
          <cell r="M20">
            <v>5</v>
          </cell>
          <cell r="N20" t="str">
            <v>¡</v>
          </cell>
          <cell r="O20">
            <v>4</v>
          </cell>
          <cell r="R20" t="str">
            <v>Reported Monthly</v>
          </cell>
        </row>
        <row r="21">
          <cell r="A21" t="str">
            <v xml:space="preserve">Standard Offer Maintenance Audits Completed </v>
          </cell>
          <cell r="B21" t="str">
            <v>*</v>
          </cell>
          <cell r="C21" t="str">
            <v>*</v>
          </cell>
          <cell r="D21" t="str">
            <v xml:space="preserve">H </v>
          </cell>
          <cell r="E21">
            <v>42</v>
          </cell>
          <cell r="F21">
            <v>77</v>
          </cell>
          <cell r="G21" t="str">
            <v>é</v>
          </cell>
          <cell r="H21">
            <v>47</v>
          </cell>
          <cell r="J21" t="str">
            <v xml:space="preserve">Standard Offer Maintenance Audits Completed </v>
          </cell>
          <cell r="K21" t="str">
            <v xml:space="preserve">H </v>
          </cell>
          <cell r="L21">
            <v>14</v>
          </cell>
          <cell r="M21">
            <v>77</v>
          </cell>
          <cell r="N21" t="str">
            <v>¡</v>
          </cell>
          <cell r="O21">
            <v>8</v>
          </cell>
          <cell r="R21" t="str">
            <v>Reported Monthly</v>
          </cell>
        </row>
        <row r="22">
          <cell r="A22" t="str">
            <v xml:space="preserve">Standard Offer Inspections Completed </v>
          </cell>
          <cell r="B22" t="str">
            <v>*</v>
          </cell>
          <cell r="D22" t="str">
            <v xml:space="preserve">H </v>
          </cell>
          <cell r="E22" t="str">
            <v>é</v>
          </cell>
          <cell r="F22">
            <v>308</v>
          </cell>
          <cell r="G22" t="str">
            <v>é</v>
          </cell>
          <cell r="H22">
            <v>158</v>
          </cell>
          <cell r="I22" t="str">
            <v>H</v>
          </cell>
          <cell r="J22" t="str">
            <v xml:space="preserve">Standard Offer Inspections Completed </v>
          </cell>
          <cell r="K22" t="str">
            <v xml:space="preserve">H </v>
          </cell>
          <cell r="L22" t="str">
            <v>+</v>
          </cell>
          <cell r="M22">
            <v>308</v>
          </cell>
          <cell r="N22" t="str">
            <v>¡</v>
          </cell>
          <cell r="O22">
            <v>39</v>
          </cell>
          <cell r="R22" t="str">
            <v>Reported Monthly</v>
          </cell>
        </row>
        <row r="24">
          <cell r="A24" t="str">
            <v>ECONOMIC</v>
          </cell>
          <cell r="H24" t="str">
            <v>ECONOMIC</v>
          </cell>
        </row>
        <row r="25">
          <cell r="B25" t="str">
            <v>MICP A</v>
          </cell>
          <cell r="C25" t="str">
            <v>MICP B</v>
          </cell>
          <cell r="D25" t="str">
            <v>L/H</v>
          </cell>
          <cell r="E25" t="str">
            <v>July 2008  YTD</v>
          </cell>
          <cell r="F25" t="str">
            <v>2009 Target</v>
          </cell>
          <cell r="G25" t="str">
            <v>YE Forecast</v>
          </cell>
          <cell r="H25" t="str">
            <v>July 2009 YTD</v>
          </cell>
          <cell r="I25" t="str">
            <v>L/H</v>
          </cell>
        </row>
      </sheetData>
      <sheetData sheetId="1"/>
      <sheetData sheetId="2"/>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People Menu"/>
      <sheetName val="Osha Cases"/>
      <sheetName val="Osha Index"/>
      <sheetName val="First Aid Incid"/>
      <sheetName val="Lost Time Rate"/>
      <sheetName val="MVA"/>
      <sheetName val="% Comp LHS"/>
      <sheetName val="% Comp EHS"/>
      <sheetName val="Avail 1-5"/>
      <sheetName val="Avail &gt;5"/>
      <sheetName val="Staffing Levels"/>
      <sheetName val="OT"/>
      <sheetName val="Customer Menu"/>
      <sheetName val="BPU"/>
      <sheetName val="BPU per prem visits STATE"/>
      <sheetName val="MOT"/>
      <sheetName val="NB Inq Resp Rate"/>
      <sheetName val="NB Serv Inst Rate"/>
      <sheetName val="Road Restoration"/>
      <sheetName val="Appt Kept One"/>
      <sheetName val="Net Change Contract"/>
      <sheetName val="Repeat Service State"/>
      <sheetName val="Operations Menu"/>
      <sheetName val="Avg Resp State"/>
      <sheetName val="State % of Non Prem"/>
      <sheetName val="North % of Non Prem"/>
      <sheetName val="Central % of Non Prem"/>
      <sheetName val="South % of Non Prem"/>
      <sheetName val="Dist Level OT Non Prem %"/>
      <sheetName val="Percent Visits CGI_NAP"/>
      <sheetName val="Gas Leaks Mile"/>
      <sheetName val="Open Leaks"/>
      <sheetName val="Completed Leaks"/>
      <sheetName val="Leak Repair Rate"/>
      <sheetName val="CI Breaks Mile"/>
      <sheetName val="Leak State Div Dist"/>
      <sheetName val="Damages 1000 MO"/>
      <sheetName val="PM(PM+CM)"/>
      <sheetName val="% Comp Rptd Progs"/>
      <sheetName val="Sel Assign Match %"/>
      <sheetName val="Damages Billed"/>
      <sheetName val="% Replacement Main"/>
      <sheetName val="# Open 1rst Level"/>
      <sheetName val="# Open 2nd Level"/>
      <sheetName val="New Serv $ Ft"/>
      <sheetName val="Repl Serv $ Ft"/>
      <sheetName val="M&amp;R Station Util"/>
      <sheetName val="Contract Cancellation"/>
      <sheetName val="Street Le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row r="3">
          <cell r="D3" t="str">
            <v>Q1</v>
          </cell>
        </row>
        <row r="4">
          <cell r="D4" t="str">
            <v>February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FleetMPG_Month"/>
      <sheetName val="RenewEnergy_Month"/>
      <sheetName val="NonHazardWaste_Month"/>
      <sheetName val="EnergySavings_Month"/>
      <sheetName val="NewSolar"/>
      <sheetName val="PeakDemand"/>
      <sheetName val="HazardousWaste"/>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RenewEnergy"/>
      <sheetName val="NonHazardWaste"/>
      <sheetName val="GreenEnergy_Metrics_Master"/>
    </sheetNames>
    <sheetDataSet>
      <sheetData sheetId="0"/>
      <sheetData sheetId="1"/>
      <sheetData sheetId="2"/>
      <sheetData sheetId="3">
        <row r="3">
          <cell r="B3" t="str">
            <v>Q4</v>
          </cell>
        </row>
        <row r="4">
          <cell r="B4" t="str">
            <v>December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mulus only"/>
      <sheetName val="Pivot"/>
      <sheetName val="Work Plan"/>
      <sheetName val="RTEP"/>
      <sheetName val="NewMonthProcedure"/>
      <sheetName val="Month"/>
      <sheetName val="YTD"/>
      <sheetName val="Budget"/>
      <sheetName val="units"/>
      <sheetName val="Plan"/>
      <sheetName val="Revised Plan"/>
      <sheetName val="Utility Cap Report"/>
      <sheetName val="ED Summary"/>
      <sheetName val="Proj removed from file"/>
    </sheetNames>
    <sheetDataSet>
      <sheetData sheetId="0" refreshError="1"/>
      <sheetData sheetId="1" refreshError="1"/>
      <sheetData sheetId="2" refreshError="1">
        <row r="303">
          <cell r="H303">
            <v>44777900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row>
        <row r="18">
          <cell r="A18" t="str">
            <v>SAFE and RELIABLE</v>
          </cell>
          <cell r="B18" t="str">
            <v>Gas Delivery</v>
          </cell>
          <cell r="C18">
            <v>0.998</v>
          </cell>
          <cell r="D18">
            <v>0.999</v>
          </cell>
          <cell r="E18" t="str">
            <v>é</v>
          </cell>
          <cell r="F18">
            <v>0.999</v>
          </cell>
          <cell r="G18">
            <v>0.999</v>
          </cell>
          <cell r="H18">
            <v>0.998</v>
          </cell>
          <cell r="I18">
            <v>0.999</v>
          </cell>
          <cell r="M18" t="str">
            <v>SAFE and RELIABLE</v>
          </cell>
          <cell r="N18" t="str">
            <v>Gas Delivery</v>
          </cell>
          <cell r="O18">
            <v>0.998</v>
          </cell>
          <cell r="P18">
            <v>0.999</v>
          </cell>
          <cell r="Q18" t="str">
            <v>-</v>
          </cell>
          <cell r="R18">
            <v>0.996</v>
          </cell>
          <cell r="S18">
            <v>0.99399999999999999</v>
          </cell>
          <cell r="T18">
            <v>0.99399999999999999</v>
          </cell>
          <cell r="U18">
            <v>0.998</v>
          </cell>
        </row>
        <row r="19">
          <cell r="A19" t="str">
            <v>Appointments Kept</v>
          </cell>
          <cell r="B19" t="str">
            <v>L/H</v>
          </cell>
          <cell r="C19" t="str">
            <v>Nov 08 YTD</v>
          </cell>
          <cell r="D19" t="str">
            <v>2009 Target</v>
          </cell>
          <cell r="E19" t="str">
            <v>YE Forecast</v>
          </cell>
          <cell r="F19" t="str">
            <v>Gas Delivery</v>
          </cell>
          <cell r="G19" t="str">
            <v>Northern</v>
          </cell>
          <cell r="H19" t="str">
            <v>Central</v>
          </cell>
          <cell r="I19" t="str">
            <v>Southern</v>
          </cell>
          <cell r="J19" t="str">
            <v>GSOC M&amp;R</v>
          </cell>
          <cell r="K19" t="str">
            <v>VP &amp; Support</v>
          </cell>
          <cell r="M19" t="str">
            <v>Appointment Kept</v>
          </cell>
          <cell r="N19" t="str">
            <v>L/H</v>
          </cell>
          <cell r="O19" t="str">
            <v>Nov 08</v>
          </cell>
          <cell r="P19" t="str">
            <v>2009 Target</v>
          </cell>
          <cell r="Q19" t="str">
            <v>Monthly Status</v>
          </cell>
          <cell r="R19" t="str">
            <v>Gas Delivery</v>
          </cell>
          <cell r="S19" t="str">
            <v>Northern</v>
          </cell>
          <cell r="T19" t="str">
            <v>Central</v>
          </cell>
          <cell r="U19" t="str">
            <v>Southern</v>
          </cell>
          <cell r="V19" t="str">
            <v>GSOC M&amp;R</v>
          </cell>
          <cell r="W19" t="str">
            <v>VP &amp; Support</v>
          </cell>
        </row>
        <row r="20">
          <cell r="A20" t="str">
            <v>Gas Leak Reports Per Mile</v>
          </cell>
          <cell r="B20" t="str">
            <v>L</v>
          </cell>
          <cell r="C20">
            <v>0.20899999999999999</v>
          </cell>
          <cell r="D20">
            <v>0.222</v>
          </cell>
          <cell r="E20" t="str">
            <v>é</v>
          </cell>
          <cell r="F20">
            <v>0.189</v>
          </cell>
          <cell r="G20">
            <v>0.247</v>
          </cell>
          <cell r="H20">
            <v>0.23599999999999999</v>
          </cell>
          <cell r="I20">
            <v>0.13</v>
          </cell>
          <cell r="M20" t="str">
            <v>Gas Leak Reports Per Mile</v>
          </cell>
          <cell r="N20" t="str">
            <v>L</v>
          </cell>
          <cell r="O20">
            <v>1.2E-2</v>
          </cell>
          <cell r="P20">
            <v>0.222</v>
          </cell>
          <cell r="Q20" t="str">
            <v>+</v>
          </cell>
          <cell r="R20">
            <v>1.2999999999999999E-2</v>
          </cell>
          <cell r="S20">
            <v>2.1000000000000001E-2</v>
          </cell>
          <cell r="T20">
            <v>1.4999999999999999E-2</v>
          </cell>
          <cell r="U20">
            <v>7.0000000000000001E-3</v>
          </cell>
        </row>
        <row r="21">
          <cell r="A21" t="str">
            <v>Leak Response Rate</v>
          </cell>
          <cell r="B21" t="str">
            <v>H</v>
          </cell>
          <cell r="C21">
            <v>0.999</v>
          </cell>
          <cell r="D21">
            <v>0.999</v>
          </cell>
          <cell r="E21" t="str">
            <v>é</v>
          </cell>
          <cell r="F21">
            <v>0.999</v>
          </cell>
          <cell r="G21" t="str">
            <v>99.9.%</v>
          </cell>
          <cell r="H21">
            <v>0.998</v>
          </cell>
          <cell r="I21">
            <v>0.998</v>
          </cell>
          <cell r="M21" t="str">
            <v>Leak Response Rate</v>
          </cell>
          <cell r="N21" t="str">
            <v>H</v>
          </cell>
          <cell r="O21">
            <v>0.999</v>
          </cell>
          <cell r="P21">
            <v>0.999</v>
          </cell>
          <cell r="Q21" t="str">
            <v>-</v>
          </cell>
          <cell r="R21">
            <v>0.998</v>
          </cell>
          <cell r="S21">
            <v>0.999</v>
          </cell>
          <cell r="T21">
            <v>0.996</v>
          </cell>
          <cell r="U21">
            <v>0.999</v>
          </cell>
        </row>
        <row r="22">
          <cell r="A22" t="str">
            <v>Appointment Kept</v>
          </cell>
          <cell r="B22" t="str">
            <v>H</v>
          </cell>
          <cell r="C22">
            <v>0.95099999999999996</v>
          </cell>
          <cell r="D22">
            <v>0.95099999999999996</v>
          </cell>
          <cell r="E22" t="str">
            <v>ê</v>
          </cell>
          <cell r="F22" t="str">
            <v>N/A</v>
          </cell>
          <cell r="G22" t="str">
            <v>N/A</v>
          </cell>
          <cell r="H22" t="str">
            <v>N/A</v>
          </cell>
          <cell r="I22" t="str">
            <v>N/A</v>
          </cell>
          <cell r="M22" t="str">
            <v>Appointment Kept</v>
          </cell>
          <cell r="N22" t="str">
            <v>H</v>
          </cell>
          <cell r="O22">
            <v>0.94699999999999995</v>
          </cell>
          <cell r="P22">
            <v>0.95099999999999996</v>
          </cell>
          <cell r="Q22" t="str">
            <v>+</v>
          </cell>
          <cell r="R22" t="str">
            <v>N/A</v>
          </cell>
          <cell r="S22" t="str">
            <v>N/A</v>
          </cell>
          <cell r="T22" t="str">
            <v>N/A</v>
          </cell>
          <cell r="U22" t="str">
            <v>N/A</v>
          </cell>
        </row>
        <row r="23">
          <cell r="A23" t="str">
            <v>BPU Inquiries - Non-Collection</v>
          </cell>
          <cell r="B23" t="str">
            <v>L</v>
          </cell>
          <cell r="C23">
            <v>97</v>
          </cell>
          <cell r="D23">
            <v>141</v>
          </cell>
          <cell r="E23" t="str">
            <v>ê</v>
          </cell>
          <cell r="F23">
            <v>172</v>
          </cell>
          <cell r="G23">
            <v>54</v>
          </cell>
          <cell r="H23">
            <v>63</v>
          </cell>
          <cell r="I23">
            <v>53</v>
          </cell>
          <cell r="M23" t="str">
            <v>BPU Inquiries - Non-Collection</v>
          </cell>
          <cell r="N23" t="str">
            <v>L</v>
          </cell>
          <cell r="O23">
            <v>13</v>
          </cell>
          <cell r="P23">
            <v>16</v>
          </cell>
          <cell r="Q23" t="str">
            <v>+</v>
          </cell>
          <cell r="R23">
            <v>3</v>
          </cell>
          <cell r="S23">
            <v>1</v>
          </cell>
          <cell r="T23">
            <v>1</v>
          </cell>
          <cell r="U23">
            <v>1</v>
          </cell>
        </row>
        <row r="24">
          <cell r="A24" t="str">
            <v>Perception Survey (Res/Sm Business)</v>
          </cell>
          <cell r="B24" t="str">
            <v>H</v>
          </cell>
          <cell r="C24">
            <v>75</v>
          </cell>
          <cell r="D24">
            <v>76</v>
          </cell>
          <cell r="E24" t="str">
            <v>ê</v>
          </cell>
          <cell r="F24">
            <v>74</v>
          </cell>
          <cell r="G24">
            <v>73</v>
          </cell>
          <cell r="H24">
            <v>74</v>
          </cell>
          <cell r="I24">
            <v>75</v>
          </cell>
          <cell r="M24" t="str">
            <v>Perception Survey (Res/Sm Business)</v>
          </cell>
          <cell r="N24" t="str">
            <v>H</v>
          </cell>
          <cell r="O24">
            <v>78</v>
          </cell>
          <cell r="P24">
            <v>76</v>
          </cell>
          <cell r="Q24" t="str">
            <v>-</v>
          </cell>
          <cell r="R24">
            <v>73</v>
          </cell>
          <cell r="S24">
            <v>2.62</v>
          </cell>
          <cell r="T24">
            <v>3.09</v>
          </cell>
          <cell r="U24">
            <v>2.9</v>
          </cell>
        </row>
        <row r="25">
          <cell r="A25" t="str">
            <v>Moment of Truth Survey</v>
          </cell>
          <cell r="B25" t="str">
            <v>H</v>
          </cell>
          <cell r="C25">
            <v>9.3000000000000007</v>
          </cell>
          <cell r="D25">
            <v>9.3000000000000007</v>
          </cell>
          <cell r="E25" t="str">
            <v>çè</v>
          </cell>
          <cell r="F25">
            <v>9.1</v>
          </cell>
          <cell r="G25">
            <v>9.1</v>
          </cell>
          <cell r="H25">
            <v>8.9</v>
          </cell>
          <cell r="I25">
            <v>9.3000000000000007</v>
          </cell>
          <cell r="M25" t="str">
            <v>Moment of Truth Survey</v>
          </cell>
          <cell r="N25" t="str">
            <v>H</v>
          </cell>
          <cell r="O25">
            <v>9.4</v>
          </cell>
          <cell r="P25">
            <v>9.3000000000000007</v>
          </cell>
          <cell r="Q25" t="str">
            <v>-</v>
          </cell>
          <cell r="R25">
            <v>9.1999999999999993</v>
          </cell>
        </row>
        <row r="26">
          <cell r="A26" t="str">
            <v>Damages Per 1,000 Locate Requests</v>
          </cell>
          <cell r="B26" t="str">
            <v>L</v>
          </cell>
          <cell r="C26">
            <v>1.83</v>
          </cell>
          <cell r="D26">
            <v>1.97</v>
          </cell>
          <cell r="E26" t="str">
            <v>é</v>
          </cell>
          <cell r="F26">
            <v>1.52</v>
          </cell>
          <cell r="G26">
            <v>1.42</v>
          </cell>
          <cell r="H26">
            <v>2.11</v>
          </cell>
          <cell r="I26">
            <v>1.41</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Elect. Damages Per 1,000 Locate Requests</v>
          </cell>
          <cell r="B28" t="str">
            <v>L</v>
          </cell>
          <cell r="C28">
            <v>0.8</v>
          </cell>
          <cell r="D28">
            <v>0.93</v>
          </cell>
          <cell r="E28" t="str">
            <v>é</v>
          </cell>
          <cell r="F28">
            <v>0.71</v>
          </cell>
          <cell r="G28" t="str">
            <v>Northern</v>
          </cell>
          <cell r="H28" t="str">
            <v>Central</v>
          </cell>
          <cell r="I28" t="str">
            <v>Southern</v>
          </cell>
          <cell r="J28" t="str">
            <v>GSOC M&amp;R</v>
          </cell>
          <cell r="K28" t="str">
            <v>VP &amp; Support</v>
          </cell>
          <cell r="M28" t="str">
            <v>Elect. Damages Per 1,000 Locate Requests</v>
          </cell>
          <cell r="N28" t="str">
            <v>L</v>
          </cell>
          <cell r="O28">
            <v>0.51</v>
          </cell>
          <cell r="P28">
            <v>0.93</v>
          </cell>
          <cell r="Q28" t="str">
            <v>-</v>
          </cell>
          <cell r="R28">
            <v>1.24</v>
          </cell>
          <cell r="S28" t="str">
            <v>Northern</v>
          </cell>
          <cell r="T28" t="str">
            <v>Central</v>
          </cell>
          <cell r="U28" t="str">
            <v>Southern</v>
          </cell>
          <cell r="V28" t="str">
            <v>GSOC M&amp;R</v>
          </cell>
          <cell r="W28" t="str">
            <v>VP &amp; Support</v>
          </cell>
        </row>
        <row r="29">
          <cell r="A29" t="str">
            <v>Workhrs/Unit Tariff</v>
          </cell>
          <cell r="B29" t="str">
            <v>L</v>
          </cell>
          <cell r="C29">
            <v>0.51</v>
          </cell>
          <cell r="D29">
            <v>0.51</v>
          </cell>
          <cell r="E29" t="str">
            <v>é</v>
          </cell>
          <cell r="F29" t="str">
            <v>N/A</v>
          </cell>
          <cell r="G29" t="str">
            <v>N/A</v>
          </cell>
          <cell r="H29" t="str">
            <v>N/A</v>
          </cell>
          <cell r="I29" t="str">
            <v>N/A</v>
          </cell>
          <cell r="J29">
            <v>9.4025689999999997</v>
          </cell>
          <cell r="K29">
            <v>1.17</v>
          </cell>
          <cell r="M29" t="str">
            <v>Workhrs/Unit Tariff</v>
          </cell>
          <cell r="N29" t="str">
            <v>L</v>
          </cell>
          <cell r="O29">
            <v>0.52</v>
          </cell>
          <cell r="P29">
            <v>0.51</v>
          </cell>
          <cell r="Q29" t="str">
            <v>-</v>
          </cell>
          <cell r="R29" t="str">
            <v>N/A</v>
          </cell>
          <cell r="S29" t="str">
            <v>N/A</v>
          </cell>
          <cell r="T29" t="str">
            <v>N/A</v>
          </cell>
          <cell r="U29" t="str">
            <v>N/A</v>
          </cell>
          <cell r="V29">
            <v>0.50339</v>
          </cell>
          <cell r="W29">
            <v>5.3696000000000001E-2</v>
          </cell>
        </row>
        <row r="30">
          <cell r="A30" t="str">
            <v>Workhrs/Unit Comp. Services</v>
          </cell>
          <cell r="B30" t="str">
            <v>L</v>
          </cell>
          <cell r="C30">
            <v>0.43</v>
          </cell>
          <cell r="D30">
            <v>0.43</v>
          </cell>
          <cell r="E30" t="str">
            <v>é</v>
          </cell>
          <cell r="F30" t="str">
            <v>N/A</v>
          </cell>
          <cell r="G30" t="str">
            <v>N/A</v>
          </cell>
          <cell r="H30" t="str">
            <v>N/A</v>
          </cell>
          <cell r="I30" t="str">
            <v>N/A</v>
          </cell>
          <cell r="M30" t="str">
            <v>Workhrs/Unit Comp. Services</v>
          </cell>
          <cell r="N30" t="str">
            <v>L</v>
          </cell>
          <cell r="O30">
            <v>0.43</v>
          </cell>
          <cell r="P30">
            <v>0.43</v>
          </cell>
          <cell r="Q30" t="str">
            <v>-</v>
          </cell>
          <cell r="R30" t="str">
            <v>N/A</v>
          </cell>
          <cell r="S30" t="str">
            <v>N/A</v>
          </cell>
          <cell r="T30" t="str">
            <v>N/A</v>
          </cell>
          <cell r="U30" t="str">
            <v>N/A</v>
          </cell>
        </row>
        <row r="31">
          <cell r="A31" t="str">
            <v>Open Leaks</v>
          </cell>
          <cell r="B31" t="str">
            <v>L</v>
          </cell>
          <cell r="C31">
            <v>1948</v>
          </cell>
          <cell r="D31">
            <v>2400</v>
          </cell>
          <cell r="E31" t="str">
            <v>é</v>
          </cell>
          <cell r="F31">
            <v>2046</v>
          </cell>
          <cell r="G31">
            <v>1160</v>
          </cell>
          <cell r="H31">
            <v>349</v>
          </cell>
          <cell r="I31">
            <v>537</v>
          </cell>
          <cell r="M31" t="str">
            <v>Open Leaks</v>
          </cell>
          <cell r="N31" t="str">
            <v>L</v>
          </cell>
          <cell r="O31">
            <v>1948</v>
          </cell>
          <cell r="P31">
            <v>2400</v>
          </cell>
          <cell r="Q31" t="str">
            <v>+</v>
          </cell>
          <cell r="R31">
            <v>2046</v>
          </cell>
          <cell r="S31">
            <v>1160</v>
          </cell>
          <cell r="T31">
            <v>349</v>
          </cell>
          <cell r="U31">
            <v>537</v>
          </cell>
        </row>
        <row r="32">
          <cell r="A32" t="str">
            <v>Open Class 2 Leaks</v>
          </cell>
          <cell r="B32" t="str">
            <v>L</v>
          </cell>
          <cell r="C32">
            <v>930</v>
          </cell>
          <cell r="D32">
            <v>1300</v>
          </cell>
          <cell r="E32" t="str">
            <v>é</v>
          </cell>
          <cell r="F32">
            <v>981</v>
          </cell>
          <cell r="G32">
            <v>509</v>
          </cell>
          <cell r="H32">
            <v>148</v>
          </cell>
          <cell r="I32">
            <v>324</v>
          </cell>
          <cell r="M32" t="str">
            <v>Open Class 2 Leaks</v>
          </cell>
          <cell r="N32" t="str">
            <v>L</v>
          </cell>
          <cell r="O32">
            <v>930</v>
          </cell>
          <cell r="P32">
            <v>1300</v>
          </cell>
          <cell r="Q32" t="str">
            <v>+</v>
          </cell>
          <cell r="R32">
            <v>981</v>
          </cell>
          <cell r="S32">
            <v>509</v>
          </cell>
          <cell r="T32">
            <v>148</v>
          </cell>
          <cell r="U32">
            <v>324</v>
          </cell>
        </row>
        <row r="33">
          <cell r="A33" t="str">
            <v>New Business Construction Survey</v>
          </cell>
          <cell r="B33" t="str">
            <v>H</v>
          </cell>
          <cell r="C33">
            <v>8.6</v>
          </cell>
          <cell r="D33">
            <v>8.6999999999999993</v>
          </cell>
          <cell r="E33" t="str">
            <v>ê</v>
          </cell>
          <cell r="F33">
            <v>8.6</v>
          </cell>
          <cell r="G33">
            <v>8.5</v>
          </cell>
          <cell r="H33">
            <v>8.6</v>
          </cell>
          <cell r="I33">
            <v>8.6999999999999993</v>
          </cell>
          <cell r="J33">
            <v>9.7958769300000004</v>
          </cell>
          <cell r="K33">
            <v>37.722999999999999</v>
          </cell>
          <cell r="M33" t="str">
            <v>New Business Construction Survey</v>
          </cell>
          <cell r="N33" t="str">
            <v>H</v>
          </cell>
          <cell r="O33">
            <v>8.6</v>
          </cell>
          <cell r="P33">
            <v>8.6999999999999993</v>
          </cell>
          <cell r="Q33" t="str">
            <v>-</v>
          </cell>
          <cell r="R33">
            <v>8.6</v>
          </cell>
          <cell r="S33">
            <v>8.1</v>
          </cell>
          <cell r="T33">
            <v>8.8000000000000007</v>
          </cell>
          <cell r="U33">
            <v>8.6999999999999993</v>
          </cell>
          <cell r="V33">
            <v>0.47747115000000001</v>
          </cell>
          <cell r="W33">
            <v>3.1549999999999998</v>
          </cell>
        </row>
        <row r="34">
          <cell r="A34" t="str">
            <v>% Regulatory Compliance</v>
          </cell>
          <cell r="B34" t="str">
            <v>H</v>
          </cell>
          <cell r="C34">
            <v>1</v>
          </cell>
          <cell r="D34">
            <v>1</v>
          </cell>
          <cell r="E34" t="str">
            <v>çè</v>
          </cell>
          <cell r="F34">
            <v>0.91600000000000004</v>
          </cell>
          <cell r="G34">
            <v>0.82599999999999996</v>
          </cell>
          <cell r="H34">
            <v>0.92200000000000004</v>
          </cell>
          <cell r="I34">
            <v>0.95599999999999996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ECONOMIC</v>
          </cell>
          <cell r="B36" t="str">
            <v>Gas Delivery</v>
          </cell>
          <cell r="C36">
            <v>5337</v>
          </cell>
          <cell r="D36">
            <v>5210</v>
          </cell>
          <cell r="E36" t="str">
            <v>é</v>
          </cell>
          <cell r="F36">
            <v>4972.5000590680374</v>
          </cell>
          <cell r="G36">
            <v>5298.0572483841179</v>
          </cell>
          <cell r="H36">
            <v>6091.3319194061505</v>
          </cell>
          <cell r="I36">
            <v>4419.4010884086438</v>
          </cell>
        </row>
        <row r="37">
          <cell r="A37" t="str">
            <v>Fully Loaded $/Unit - Repl. Main</v>
          </cell>
          <cell r="B37" t="str">
            <v>L/H</v>
          </cell>
          <cell r="C37" t="str">
            <v>Nov 08 YTD</v>
          </cell>
          <cell r="D37" t="str">
            <v>2009 Target</v>
          </cell>
          <cell r="E37" t="str">
            <v>YE Forecast</v>
          </cell>
          <cell r="F37" t="str">
            <v>Gas Delivery</v>
          </cell>
          <cell r="G37" t="str">
            <v>Northern</v>
          </cell>
          <cell r="H37" t="str">
            <v>Central</v>
          </cell>
          <cell r="I37" t="str">
            <v>Southern</v>
          </cell>
          <cell r="J37" t="str">
            <v>GSOC M&amp;R</v>
          </cell>
          <cell r="K37" t="str">
            <v>VP &amp; Support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row r="21">
          <cell r="A21" t="str">
            <v>SAIFI</v>
          </cell>
          <cell r="B21" t="str">
            <v>L</v>
          </cell>
          <cell r="C21">
            <v>0.66</v>
          </cell>
          <cell r="D21">
            <v>0.72</v>
          </cell>
          <cell r="E21" t="str">
            <v>é</v>
          </cell>
          <cell r="F21">
            <v>0.64</v>
          </cell>
          <cell r="I21">
            <v>0.64</v>
          </cell>
          <cell r="L21" t="str">
            <v>SAIFI</v>
          </cell>
          <cell r="M21" t="str">
            <v>L</v>
          </cell>
          <cell r="N21">
            <v>0.04</v>
          </cell>
          <cell r="O21">
            <v>5.0996821272297967E-2</v>
          </cell>
          <cell r="P21" t="str">
            <v>+</v>
          </cell>
          <cell r="Q21">
            <v>0.04</v>
          </cell>
          <cell r="T21">
            <v>0.04</v>
          </cell>
          <cell r="V21" t="str">
            <v>M</v>
          </cell>
        </row>
        <row r="22">
          <cell r="A22" t="str">
            <v>MAIFI</v>
          </cell>
          <cell r="B22" t="str">
            <v>L</v>
          </cell>
          <cell r="C22">
            <v>1.24</v>
          </cell>
          <cell r="D22">
            <v>1.25</v>
          </cell>
          <cell r="E22" t="str">
            <v>é</v>
          </cell>
          <cell r="F22">
            <v>1.1399999999999999</v>
          </cell>
          <cell r="I22">
            <v>1.1399999999999999</v>
          </cell>
          <cell r="L22" t="str">
            <v>MAIFI</v>
          </cell>
          <cell r="M22" t="str">
            <v>L</v>
          </cell>
          <cell r="N22">
            <v>0.09</v>
          </cell>
          <cell r="O22">
            <v>0.11391304347826098</v>
          </cell>
          <cell r="P22" t="str">
            <v>+</v>
          </cell>
          <cell r="Q22">
            <v>0.08</v>
          </cell>
          <cell r="T22">
            <v>0.08</v>
          </cell>
          <cell r="V22" t="str">
            <v>M</v>
          </cell>
        </row>
        <row r="23">
          <cell r="A23" t="str">
            <v>CAIDI</v>
          </cell>
          <cell r="B23" t="str">
            <v>L</v>
          </cell>
          <cell r="C23">
            <v>65.400000000000006</v>
          </cell>
          <cell r="D23">
            <v>66.5</v>
          </cell>
          <cell r="E23" t="str">
            <v>é</v>
          </cell>
          <cell r="F23">
            <v>64.11</v>
          </cell>
          <cell r="I23">
            <v>64.11</v>
          </cell>
          <cell r="L23" t="str">
            <v>CAIDI</v>
          </cell>
          <cell r="M23" t="str">
            <v>L</v>
          </cell>
          <cell r="N23">
            <v>46.8</v>
          </cell>
          <cell r="O23">
            <v>58.344090663574896</v>
          </cell>
          <cell r="P23" t="str">
            <v>-</v>
          </cell>
          <cell r="Q23">
            <v>70.39</v>
          </cell>
          <cell r="T23">
            <v>70.39</v>
          </cell>
          <cell r="V23" t="str">
            <v>M</v>
          </cell>
        </row>
        <row r="24">
          <cell r="A24" t="str">
            <v>CEMI</v>
          </cell>
          <cell r="B24" t="str">
            <v>L</v>
          </cell>
          <cell r="C24">
            <v>0.02</v>
          </cell>
          <cell r="D24">
            <v>2.3E-2</v>
          </cell>
          <cell r="E24" t="str">
            <v>é</v>
          </cell>
          <cell r="F24">
            <v>1.0999999999999999E-2</v>
          </cell>
          <cell r="I24">
            <v>1.0999999999999999E-2</v>
          </cell>
          <cell r="L24" t="str">
            <v>CEMI</v>
          </cell>
          <cell r="M24" t="str">
            <v>L</v>
          </cell>
          <cell r="N24">
            <v>0</v>
          </cell>
          <cell r="O24">
            <v>0</v>
          </cell>
          <cell r="P24" t="str">
            <v>o</v>
          </cell>
          <cell r="Q24">
            <v>0</v>
          </cell>
          <cell r="T24">
            <v>0</v>
          </cell>
          <cell r="V24" t="str">
            <v>M</v>
          </cell>
        </row>
        <row r="25">
          <cell r="A25" t="str">
            <v>Gas Leak Reports per Mile</v>
          </cell>
          <cell r="B25" t="str">
            <v>L</v>
          </cell>
          <cell r="C25">
            <v>0.20899999999999999</v>
          </cell>
          <cell r="D25">
            <v>0.222</v>
          </cell>
          <cell r="E25" t="str">
            <v>é</v>
          </cell>
          <cell r="F25">
            <v>0.18906559222724459</v>
          </cell>
          <cell r="H25">
            <v>0.189</v>
          </cell>
          <cell r="L25" t="str">
            <v>Gas Leak Reports per Mile</v>
          </cell>
          <cell r="M25" t="str">
            <v>L</v>
          </cell>
          <cell r="N25">
            <v>1.2E-2</v>
          </cell>
          <cell r="O25">
            <v>1.4017627333333319E-2</v>
          </cell>
          <cell r="P25" t="str">
            <v>+</v>
          </cell>
          <cell r="Q25">
            <v>1.2821957549319916E-2</v>
          </cell>
          <cell r="S25">
            <v>1.2999999999999999E-2</v>
          </cell>
          <cell r="V25" t="str">
            <v>M</v>
          </cell>
        </row>
        <row r="26">
          <cell r="A26" t="str">
            <v>Damages per 1,000 Locate Requests</v>
          </cell>
          <cell r="B26" t="str">
            <v>L</v>
          </cell>
          <cell r="C26">
            <v>1.83</v>
          </cell>
          <cell r="D26">
            <v>1.97</v>
          </cell>
          <cell r="E26" t="str">
            <v>é</v>
          </cell>
          <cell r="F26">
            <v>1.52</v>
          </cell>
          <cell r="H26">
            <v>2.2799999999999998</v>
          </cell>
          <cell r="I26">
            <v>0.71</v>
          </cell>
          <cell r="L26" t="str">
            <v>Damages per 1,000 Locate Requests</v>
          </cell>
          <cell r="M26" t="str">
            <v>L</v>
          </cell>
          <cell r="N26">
            <v>1.7</v>
          </cell>
          <cell r="O26">
            <v>1.97</v>
          </cell>
          <cell r="P26" t="str">
            <v>+</v>
          </cell>
          <cell r="Q26">
            <v>1.94</v>
          </cell>
          <cell r="S26">
            <v>2.61</v>
          </cell>
          <cell r="T26">
            <v>1.24</v>
          </cell>
          <cell r="V26" t="str">
            <v>M</v>
          </cell>
        </row>
        <row r="27">
          <cell r="A27" t="str">
            <v>Leak Response Rate</v>
          </cell>
          <cell r="B27" t="str">
            <v>H</v>
          </cell>
          <cell r="C27">
            <v>0.99939999999999996</v>
          </cell>
          <cell r="D27">
            <v>0.99900000000000011</v>
          </cell>
          <cell r="E27" t="str">
            <v>é</v>
          </cell>
          <cell r="F27">
            <v>0.999</v>
          </cell>
          <cell r="H27">
            <v>0.999</v>
          </cell>
          <cell r="L27" t="str">
            <v>Leak Response Rate</v>
          </cell>
          <cell r="M27" t="str">
            <v>H</v>
          </cell>
          <cell r="N27">
            <v>0.99909999999999999</v>
          </cell>
          <cell r="O27">
            <v>0.99900000000000011</v>
          </cell>
          <cell r="P27" t="str">
            <v>-</v>
          </cell>
          <cell r="Q27">
            <v>0.998</v>
          </cell>
          <cell r="S27">
            <v>0.998</v>
          </cell>
          <cell r="V27" t="str">
            <v>M</v>
          </cell>
        </row>
        <row r="28">
          <cell r="A28" t="str">
            <v>Fix It Right</v>
          </cell>
          <cell r="B28" t="str">
            <v>H</v>
          </cell>
          <cell r="C28">
            <v>0.86467000000000005</v>
          </cell>
          <cell r="D28" t="str">
            <v>N/A</v>
          </cell>
          <cell r="E28" t="e">
            <v>#REF!</v>
          </cell>
          <cell r="F28">
            <v>0</v>
          </cell>
          <cell r="H28">
            <v>0</v>
          </cell>
          <cell r="L28" t="str">
            <v>Fix It Right</v>
          </cell>
          <cell r="M28" t="str">
            <v>H</v>
          </cell>
          <cell r="N28">
            <v>0.83869000000000005</v>
          </cell>
          <cell r="O28">
            <v>0</v>
          </cell>
          <cell r="P28" t="str">
            <v>o</v>
          </cell>
          <cell r="Q28">
            <v>0</v>
          </cell>
          <cell r="S28">
            <v>0</v>
          </cell>
          <cell r="V28" t="str">
            <v>M</v>
          </cell>
        </row>
        <row r="29">
          <cell r="A29" t="str">
            <v>Percent of Actual Meters Read</v>
          </cell>
          <cell r="B29" t="str">
            <v>H</v>
          </cell>
          <cell r="C29">
            <v>0.90100000000000002</v>
          </cell>
          <cell r="D29">
            <v>0.90100000000000002</v>
          </cell>
          <cell r="E29" t="str">
            <v>ê</v>
          </cell>
          <cell r="F29">
            <v>0.88400000000000001</v>
          </cell>
          <cell r="G29">
            <v>0.88400000000000001</v>
          </cell>
          <cell r="L29" t="str">
            <v>Percent of Actual Meters Read</v>
          </cell>
          <cell r="M29" t="str">
            <v>H</v>
          </cell>
          <cell r="N29">
            <v>0.90300000000000002</v>
          </cell>
          <cell r="O29">
            <v>0.90100000000000002</v>
          </cell>
          <cell r="P29" t="str">
            <v>-</v>
          </cell>
          <cell r="Q29">
            <v>0.89500000000000002</v>
          </cell>
          <cell r="R29">
            <v>0.89500000000000002</v>
          </cell>
          <cell r="V29" t="str">
            <v>M</v>
          </cell>
        </row>
        <row r="30">
          <cell r="A30" t="str">
            <v>Gen'l Inquiry Service Level (30 sec.)</v>
          </cell>
          <cell r="B30" t="str">
            <v>H</v>
          </cell>
          <cell r="C30">
            <v>0.76</v>
          </cell>
          <cell r="D30">
            <v>0.51</v>
          </cell>
          <cell r="E30" t="str">
            <v>é</v>
          </cell>
          <cell r="F30">
            <v>0.61399999999999999</v>
          </cell>
          <cell r="G30">
            <v>0.61399999999999999</v>
          </cell>
          <cell r="L30" t="str">
            <v>Gen'l Inquiry Service Level (30 sec.)</v>
          </cell>
          <cell r="M30" t="str">
            <v>H</v>
          </cell>
          <cell r="N30">
            <v>0.70199999999999996</v>
          </cell>
          <cell r="O30">
            <v>0.51</v>
          </cell>
          <cell r="P30" t="str">
            <v>+</v>
          </cell>
          <cell r="Q30">
            <v>0.69499999999999995</v>
          </cell>
          <cell r="R30">
            <v>0.69499999999999995</v>
          </cell>
          <cell r="V30" t="str">
            <v>M</v>
          </cell>
        </row>
        <row r="31">
          <cell r="A31" t="str">
            <v>First Contact Resolution</v>
          </cell>
          <cell r="B31" t="str">
            <v>H</v>
          </cell>
          <cell r="C31">
            <v>0.871</v>
          </cell>
          <cell r="D31" t="str">
            <v>N/A</v>
          </cell>
          <cell r="E31" t="e">
            <v>#REF!</v>
          </cell>
          <cell r="F31">
            <v>0</v>
          </cell>
          <cell r="G31">
            <v>0</v>
          </cell>
          <cell r="L31" t="str">
            <v>First Contact Resolution</v>
          </cell>
          <cell r="M31" t="str">
            <v>H</v>
          </cell>
          <cell r="N31">
            <v>0.86</v>
          </cell>
          <cell r="O31">
            <v>0</v>
          </cell>
          <cell r="P31" t="str">
            <v>o</v>
          </cell>
          <cell r="Q31">
            <v>0</v>
          </cell>
          <cell r="R31">
            <v>0</v>
          </cell>
          <cell r="V31" t="str">
            <v>M</v>
          </cell>
        </row>
        <row r="32">
          <cell r="A32" t="str">
            <v>BPU Inquiry Rate-Collection</v>
          </cell>
          <cell r="B32" t="str">
            <v>L</v>
          </cell>
          <cell r="C32">
            <v>1.27</v>
          </cell>
          <cell r="D32">
            <v>1.25</v>
          </cell>
          <cell r="E32" t="str">
            <v>ê</v>
          </cell>
          <cell r="F32">
            <v>1.84</v>
          </cell>
          <cell r="G32">
            <v>1.84</v>
          </cell>
          <cell r="L32" t="str">
            <v>BPU Inquiry Rate-Collection</v>
          </cell>
          <cell r="M32" t="str">
            <v>L</v>
          </cell>
          <cell r="N32">
            <v>1.43</v>
          </cell>
          <cell r="O32">
            <v>1.25</v>
          </cell>
          <cell r="P32" t="str">
            <v>+</v>
          </cell>
          <cell r="Q32">
            <v>0.99</v>
          </cell>
          <cell r="R32">
            <v>0.99</v>
          </cell>
          <cell r="V32" t="str">
            <v>M</v>
          </cell>
        </row>
        <row r="33">
          <cell r="A33" t="str">
            <v>BPU Inquiries - Non-Collection</v>
          </cell>
          <cell r="B33" t="str">
            <v>L</v>
          </cell>
          <cell r="C33">
            <v>1305</v>
          </cell>
          <cell r="D33">
            <v>1500</v>
          </cell>
          <cell r="E33" t="str">
            <v>ê</v>
          </cell>
          <cell r="F33">
            <v>2662</v>
          </cell>
          <cell r="G33">
            <v>2193</v>
          </cell>
          <cell r="H33">
            <v>172</v>
          </cell>
          <cell r="I33">
            <v>145</v>
          </cell>
          <cell r="J33">
            <v>152</v>
          </cell>
          <cell r="L33" t="str">
            <v>BPU Inquiries - Non-Collection</v>
          </cell>
          <cell r="M33" t="str">
            <v>L</v>
          </cell>
          <cell r="N33">
            <v>89</v>
          </cell>
          <cell r="O33">
            <v>121</v>
          </cell>
          <cell r="P33" t="str">
            <v>-</v>
          </cell>
          <cell r="Q33">
            <v>258</v>
          </cell>
          <cell r="R33">
            <v>233</v>
          </cell>
          <cell r="S33">
            <v>3</v>
          </cell>
          <cell r="T33">
            <v>18</v>
          </cell>
          <cell r="U33">
            <v>4</v>
          </cell>
          <cell r="V33" t="str">
            <v>M</v>
          </cell>
        </row>
        <row r="34">
          <cell r="A34" t="str">
            <v>Perception Survey (Residential)</v>
          </cell>
          <cell r="B34" t="str">
            <v>H</v>
          </cell>
          <cell r="C34">
            <v>75</v>
          </cell>
          <cell r="D34">
            <v>76</v>
          </cell>
          <cell r="E34" t="str">
            <v>ê</v>
          </cell>
          <cell r="F34">
            <v>74</v>
          </cell>
          <cell r="L34" t="str">
            <v>Perception Survey (Residential)</v>
          </cell>
          <cell r="M34" t="str">
            <v>H</v>
          </cell>
          <cell r="N34">
            <v>76</v>
          </cell>
          <cell r="O34">
            <v>76</v>
          </cell>
          <cell r="P34" t="str">
            <v>-</v>
          </cell>
          <cell r="Q34">
            <v>73</v>
          </cell>
          <cell r="V34" t="str">
            <v>M</v>
          </cell>
        </row>
        <row r="35">
          <cell r="A35" t="str">
            <v>Perception Survey (Small Business)</v>
          </cell>
          <cell r="B35" t="str">
            <v>H</v>
          </cell>
          <cell r="C35">
            <v>76</v>
          </cell>
          <cell r="D35">
            <v>77</v>
          </cell>
          <cell r="E35" t="str">
            <v>ê</v>
          </cell>
          <cell r="F35">
            <v>75</v>
          </cell>
          <cell r="L35" t="str">
            <v>Perception Survey (Small Business)</v>
          </cell>
          <cell r="M35" t="str">
            <v>H</v>
          </cell>
          <cell r="N35">
            <v>74</v>
          </cell>
          <cell r="O35">
            <v>77</v>
          </cell>
          <cell r="P35" t="str">
            <v>-</v>
          </cell>
          <cell r="Q35">
            <v>74</v>
          </cell>
          <cell r="V35" t="str">
            <v>M</v>
          </cell>
        </row>
        <row r="36">
          <cell r="A36" t="str">
            <v>Perception Survey (Large Business)</v>
          </cell>
          <cell r="B36" t="str">
            <v>H</v>
          </cell>
          <cell r="C36">
            <v>8.9</v>
          </cell>
          <cell r="D36">
            <v>77</v>
          </cell>
          <cell r="E36" t="str">
            <v>ê</v>
          </cell>
          <cell r="F36">
            <v>8.6999999999999993</v>
          </cell>
          <cell r="G36">
            <v>75</v>
          </cell>
          <cell r="H36">
            <v>0</v>
          </cell>
          <cell r="I36">
            <v>0</v>
          </cell>
          <cell r="L36" t="str">
            <v>Perception Survey (Large Business)</v>
          </cell>
          <cell r="M36" t="str">
            <v>H</v>
          </cell>
          <cell r="N36">
            <v>8.9</v>
          </cell>
          <cell r="O36">
            <v>77</v>
          </cell>
          <cell r="P36" t="str">
            <v>-</v>
          </cell>
          <cell r="Q36">
            <v>8.6999999999999993</v>
          </cell>
          <cell r="R36">
            <v>74</v>
          </cell>
          <cell r="S36">
            <v>0</v>
          </cell>
          <cell r="T36">
            <v>0</v>
          </cell>
          <cell r="V36" t="str">
            <v>Q</v>
          </cell>
        </row>
        <row r="37">
          <cell r="A37" t="str">
            <v>Moment of Truth Survey</v>
          </cell>
          <cell r="B37" t="str">
            <v>H</v>
          </cell>
          <cell r="C37">
            <v>8.5</v>
          </cell>
          <cell r="D37">
            <v>8.6</v>
          </cell>
          <cell r="E37" t="str">
            <v>ê</v>
          </cell>
          <cell r="F37">
            <v>8.4</v>
          </cell>
          <cell r="G37">
            <v>8.1</v>
          </cell>
          <cell r="H37">
            <v>9.1</v>
          </cell>
          <cell r="I37">
            <v>8.76</v>
          </cell>
          <cell r="L37" t="str">
            <v>Moment of Truth Survey</v>
          </cell>
          <cell r="M37" t="str">
            <v>H</v>
          </cell>
          <cell r="N37">
            <v>8.5</v>
          </cell>
          <cell r="O37">
            <v>8.6</v>
          </cell>
          <cell r="P37" t="str">
            <v>-</v>
          </cell>
          <cell r="Q37">
            <v>8.4</v>
          </cell>
          <cell r="R37" t="str">
            <v>Quarterly</v>
          </cell>
          <cell r="S37">
            <v>9.1999999999999993</v>
          </cell>
          <cell r="T37">
            <v>8.65</v>
          </cell>
          <cell r="V37" t="str">
            <v>Q</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old"/>
      <sheetName val="PSE&amp;G"/>
      <sheetName val="Definitions"/>
    </sheetNames>
    <sheetDataSet>
      <sheetData sheetId="0" refreshError="1"/>
      <sheetData sheetId="1" refreshError="1">
        <row r="8">
          <cell r="A8" t="str">
            <v>OSHA Recordable Incidence Rate</v>
          </cell>
          <cell r="B8" t="str">
            <v>L</v>
          </cell>
          <cell r="C8">
            <v>2.2718688677289545</v>
          </cell>
          <cell r="D8">
            <v>1.8</v>
          </cell>
          <cell r="E8" t="str">
            <v>çè</v>
          </cell>
          <cell r="F8">
            <v>1.9</v>
          </cell>
          <cell r="G8">
            <v>0.39</v>
          </cell>
          <cell r="H8">
            <v>2.97</v>
          </cell>
          <cell r="I8">
            <v>1.9961961373604742</v>
          </cell>
          <cell r="J8">
            <v>0</v>
          </cell>
          <cell r="L8" t="str">
            <v>OSHA Recordable Incidence Rate</v>
          </cell>
          <cell r="M8" t="str">
            <v>L</v>
          </cell>
          <cell r="N8">
            <v>2.4071057762514942</v>
          </cell>
          <cell r="O8">
            <v>1.8</v>
          </cell>
          <cell r="P8" t="str">
            <v>+</v>
          </cell>
          <cell r="Q8">
            <v>1.43</v>
          </cell>
          <cell r="R8">
            <v>0</v>
          </cell>
          <cell r="S8">
            <v>1.99</v>
          </cell>
          <cell r="T8">
            <v>1.8769825628319914</v>
          </cell>
          <cell r="U8">
            <v>0</v>
          </cell>
          <cell r="V8" t="str">
            <v>ê</v>
          </cell>
          <cell r="W8" t="str">
            <v>é</v>
          </cell>
          <cell r="Y8" t="str">
            <v>M</v>
          </cell>
          <cell r="Z8" t="str">
            <v>O</v>
          </cell>
        </row>
        <row r="9">
          <cell r="A9" t="str">
            <v>OSHA Days Away Rate (Severity)</v>
          </cell>
          <cell r="B9" t="str">
            <v>L</v>
          </cell>
          <cell r="C9">
            <v>2.2718688677289545</v>
          </cell>
          <cell r="D9">
            <v>7.94</v>
          </cell>
          <cell r="E9" t="str">
            <v>çè</v>
          </cell>
          <cell r="F9">
            <v>7.98</v>
          </cell>
          <cell r="G9">
            <v>0</v>
          </cell>
          <cell r="H9">
            <v>11.6</v>
          </cell>
          <cell r="I9">
            <v>9.9809806868023703</v>
          </cell>
          <cell r="J9">
            <v>0</v>
          </cell>
          <cell r="L9" t="str">
            <v>OSHA Days Away Rate (Severity)</v>
          </cell>
          <cell r="M9" t="str">
            <v>L</v>
          </cell>
          <cell r="N9">
            <v>0.40118429604191574</v>
          </cell>
          <cell r="O9">
            <v>7.94</v>
          </cell>
          <cell r="P9" t="str">
            <v>-</v>
          </cell>
          <cell r="Q9">
            <v>14.1</v>
          </cell>
          <cell r="R9">
            <v>0</v>
          </cell>
          <cell r="S9">
            <v>18.54</v>
          </cell>
          <cell r="T9">
            <v>19.23907126902791</v>
          </cell>
          <cell r="U9">
            <v>0</v>
          </cell>
          <cell r="V9" t="str">
            <v>ê</v>
          </cell>
          <cell r="W9" t="str">
            <v>ê</v>
          </cell>
          <cell r="Y9" t="str">
            <v>M</v>
          </cell>
          <cell r="Z9" t="str">
            <v>O</v>
          </cell>
        </row>
        <row r="10">
          <cell r="A10" t="str">
            <v>Motor Vehicle Accident Rate</v>
          </cell>
          <cell r="B10" t="str">
            <v>L</v>
          </cell>
          <cell r="C10">
            <v>6.7137858391834442</v>
          </cell>
          <cell r="D10">
            <v>3.42</v>
          </cell>
          <cell r="E10" t="str">
            <v>é</v>
          </cell>
          <cell r="F10">
            <v>3.99</v>
          </cell>
          <cell r="G10">
            <v>6.1</v>
          </cell>
          <cell r="H10">
            <v>2.5299999999999998</v>
          </cell>
          <cell r="I10">
            <v>5.2058151558198089</v>
          </cell>
          <cell r="J10">
            <v>0</v>
          </cell>
          <cell r="L10" t="str">
            <v>Motor Vehicle Accident Rate</v>
          </cell>
          <cell r="M10" t="str">
            <v>L</v>
          </cell>
          <cell r="N10">
            <v>6.7909528411083038</v>
          </cell>
          <cell r="O10">
            <v>3.42</v>
          </cell>
          <cell r="P10" t="str">
            <v>-</v>
          </cell>
          <cell r="Q10">
            <v>3.77</v>
          </cell>
          <cell r="R10">
            <v>9.82</v>
          </cell>
          <cell r="S10">
            <v>1.04</v>
          </cell>
          <cell r="T10">
            <v>5.2177973851008401</v>
          </cell>
          <cell r="U10">
            <v>0</v>
          </cell>
          <cell r="V10" t="str">
            <v>ê</v>
          </cell>
          <cell r="W10" t="str">
            <v>é</v>
          </cell>
          <cell r="Y10" t="str">
            <v>M</v>
          </cell>
          <cell r="Z10" t="str">
            <v>O</v>
          </cell>
        </row>
        <row r="11">
          <cell r="A11" t="str">
            <v>Staffing Levels - Permanent</v>
          </cell>
          <cell r="B11" t="str">
            <v>L</v>
          </cell>
          <cell r="C11">
            <v>6102</v>
          </cell>
          <cell r="D11">
            <v>6271</v>
          </cell>
          <cell r="E11" t="str">
            <v>é</v>
          </cell>
          <cell r="F11">
            <v>6297</v>
          </cell>
          <cell r="G11">
            <v>1586</v>
          </cell>
          <cell r="H11">
            <v>1988</v>
          </cell>
          <cell r="I11">
            <v>2659</v>
          </cell>
          <cell r="J11">
            <v>63</v>
          </cell>
          <cell r="L11" t="str">
            <v>Staffing Levels - Permanent</v>
          </cell>
          <cell r="M11" t="str">
            <v>L</v>
          </cell>
          <cell r="P11" t="str">
            <v xml:space="preserve"> </v>
          </cell>
          <cell r="V11" t="str">
            <v>ê</v>
          </cell>
          <cell r="W11" t="str">
            <v>ê</v>
          </cell>
          <cell r="Y11" t="str">
            <v>M</v>
          </cell>
          <cell r="Z11" t="str">
            <v>O</v>
          </cell>
        </row>
        <row r="12">
          <cell r="A12" t="str">
            <v>Availability - Illness</v>
          </cell>
          <cell r="B12" t="str">
            <v>H</v>
          </cell>
          <cell r="C12">
            <v>0.95840000000000003</v>
          </cell>
          <cell r="D12">
            <v>0.97299999999999998</v>
          </cell>
          <cell r="E12" t="str">
            <v>é</v>
          </cell>
          <cell r="F12">
            <v>0.96047586550000008</v>
          </cell>
          <cell r="G12">
            <v>0.95499999999999996</v>
          </cell>
          <cell r="H12">
            <v>0.96299999999999997</v>
          </cell>
          <cell r="I12">
            <v>0.96104863526953177</v>
          </cell>
          <cell r="J12">
            <v>0.98499999999999999</v>
          </cell>
          <cell r="L12" t="str">
            <v>Availability - Illness</v>
          </cell>
          <cell r="M12" t="str">
            <v>H</v>
          </cell>
          <cell r="N12">
            <v>0.95444600000000002</v>
          </cell>
          <cell r="O12">
            <v>0.97299999999999998</v>
          </cell>
          <cell r="P12" t="str">
            <v>-</v>
          </cell>
          <cell r="Q12">
            <v>0.96038567641000006</v>
          </cell>
          <cell r="R12">
            <v>0.95599999999999996</v>
          </cell>
          <cell r="S12">
            <v>0.96399999999999997</v>
          </cell>
          <cell r="T12">
            <v>0.95992020081240836</v>
          </cell>
          <cell r="U12">
            <v>0.98499999999999999</v>
          </cell>
          <cell r="V12" t="str">
            <v>ê</v>
          </cell>
          <cell r="W12" t="str">
            <v>é</v>
          </cell>
          <cell r="Y12" t="str">
            <v>M</v>
          </cell>
          <cell r="Z12" t="str">
            <v>O</v>
          </cell>
        </row>
        <row r="13">
          <cell r="A13" t="str">
            <v>Succession Planning</v>
          </cell>
          <cell r="B13" t="str">
            <v>H</v>
          </cell>
          <cell r="D13">
            <v>0.63</v>
          </cell>
          <cell r="E13" t="str">
            <v>é</v>
          </cell>
          <cell r="F13" t="str">
            <v>Qtrly</v>
          </cell>
          <cell r="L13" t="str">
            <v>Succession Planning</v>
          </cell>
          <cell r="M13" t="str">
            <v>H</v>
          </cell>
          <cell r="O13">
            <v>0.63</v>
          </cell>
          <cell r="P13" t="str">
            <v>o</v>
          </cell>
          <cell r="Q13" t="str">
            <v>Qtrly</v>
          </cell>
          <cell r="V13" t="str">
            <v/>
          </cell>
          <cell r="W13" t="str">
            <v/>
          </cell>
          <cell r="Y13" t="str">
            <v>Q</v>
          </cell>
          <cell r="Z13" t="str">
            <v>N</v>
          </cell>
        </row>
        <row r="14">
          <cell r="A14" t="str">
            <v>Corporate Culture for Ethics and Compliance</v>
          </cell>
          <cell r="B14" t="str">
            <v>H</v>
          </cell>
          <cell r="C14" t="str">
            <v>Qtrly</v>
          </cell>
          <cell r="D14">
            <v>0.66</v>
          </cell>
          <cell r="E14" t="str">
            <v>é</v>
          </cell>
          <cell r="F14" t="str">
            <v>Qtrly</v>
          </cell>
          <cell r="G14" t="str">
            <v>Qtrly</v>
          </cell>
          <cell r="H14" t="str">
            <v>Qtrly</v>
          </cell>
          <cell r="I14" t="str">
            <v>Qtrly</v>
          </cell>
          <cell r="J14" t="str">
            <v>Qtrly</v>
          </cell>
          <cell r="L14" t="str">
            <v>Corporate Culture for Ethics and Compliance</v>
          </cell>
          <cell r="M14" t="str">
            <v>H</v>
          </cell>
          <cell r="N14" t="str">
            <v>Qtrly</v>
          </cell>
          <cell r="O14">
            <v>0.66</v>
          </cell>
          <cell r="P14" t="str">
            <v>o</v>
          </cell>
          <cell r="Q14" t="str">
            <v>Qtrly</v>
          </cell>
          <cell r="V14" t="str">
            <v/>
          </cell>
          <cell r="W14" t="str">
            <v/>
          </cell>
          <cell r="Y14" t="str">
            <v>Q</v>
          </cell>
          <cell r="Z14" t="str">
            <v>O</v>
          </cell>
        </row>
        <row r="15">
          <cell r="A15" t="str">
            <v>Employee Development - MAST</v>
          </cell>
          <cell r="B15" t="str">
            <v>H</v>
          </cell>
          <cell r="C15" t="str">
            <v>Qtrly</v>
          </cell>
          <cell r="D15">
            <v>0.95</v>
          </cell>
          <cell r="E15" t="str">
            <v>é</v>
          </cell>
          <cell r="F15" t="str">
            <v>Qtrly</v>
          </cell>
          <cell r="G15" t="str">
            <v>Qtrly</v>
          </cell>
          <cell r="H15" t="str">
            <v>Qtrly</v>
          </cell>
          <cell r="I15" t="str">
            <v>Qtrly</v>
          </cell>
          <cell r="J15" t="str">
            <v>Qtrly</v>
          </cell>
          <cell r="L15" t="str">
            <v>Employee Development - MAST</v>
          </cell>
          <cell r="M15" t="str">
            <v>H</v>
          </cell>
          <cell r="N15" t="str">
            <v>Qtrly</v>
          </cell>
          <cell r="O15">
            <v>0.95</v>
          </cell>
          <cell r="P15" t="str">
            <v>o</v>
          </cell>
          <cell r="Q15" t="str">
            <v>Qtrly</v>
          </cell>
          <cell r="R15" t="str">
            <v>Qtrly</v>
          </cell>
          <cell r="S15" t="str">
            <v>Qtrly</v>
          </cell>
          <cell r="T15" t="str">
            <v>Qtrly</v>
          </cell>
          <cell r="U15" t="str">
            <v>Qtrly</v>
          </cell>
          <cell r="V15" t="str">
            <v/>
          </cell>
          <cell r="W15" t="str">
            <v/>
          </cell>
          <cell r="Y15" t="str">
            <v>Q</v>
          </cell>
          <cell r="Z15" t="str">
            <v>O</v>
          </cell>
        </row>
        <row r="16">
          <cell r="A16" t="str">
            <v>Employee Technical Training - BU</v>
          </cell>
          <cell r="B16" t="str">
            <v>H</v>
          </cell>
          <cell r="C16" t="str">
            <v>Qtrly</v>
          </cell>
          <cell r="D16">
            <v>1</v>
          </cell>
          <cell r="E16" t="str">
            <v>é</v>
          </cell>
          <cell r="F16" t="str">
            <v>Qtrly</v>
          </cell>
          <cell r="G16" t="str">
            <v>Qtrly</v>
          </cell>
          <cell r="H16" t="str">
            <v>Qtrly</v>
          </cell>
          <cell r="I16" t="str">
            <v>Qtrly</v>
          </cell>
          <cell r="J16" t="str">
            <v>Qtrly</v>
          </cell>
          <cell r="L16" t="str">
            <v>Employee Technical Training - BU</v>
          </cell>
          <cell r="M16" t="str">
            <v>H</v>
          </cell>
          <cell r="N16" t="str">
            <v>Qtrly</v>
          </cell>
          <cell r="O16">
            <v>1</v>
          </cell>
          <cell r="P16" t="str">
            <v>o</v>
          </cell>
          <cell r="Q16" t="str">
            <v>Qtrly</v>
          </cell>
          <cell r="R16" t="str">
            <v>Qtrly</v>
          </cell>
          <cell r="S16" t="str">
            <v>Qtrly</v>
          </cell>
          <cell r="T16" t="str">
            <v>Qtrly</v>
          </cell>
          <cell r="U16" t="str">
            <v>Qtrly</v>
          </cell>
          <cell r="V16" t="str">
            <v/>
          </cell>
          <cell r="W16" t="str">
            <v/>
          </cell>
          <cell r="Y16" t="str">
            <v>Q</v>
          </cell>
          <cell r="Z16" t="str">
            <v>O</v>
          </cell>
        </row>
        <row r="17">
          <cell r="A17" t="str">
            <v>Fringe Benefit Rate</v>
          </cell>
          <cell r="B17" t="str">
            <v>L</v>
          </cell>
          <cell r="C17" t="str">
            <v>Qtrly</v>
          </cell>
          <cell r="D17">
            <v>0.49199999999999999</v>
          </cell>
          <cell r="E17" t="str">
            <v>é</v>
          </cell>
          <cell r="F17" t="str">
            <v>Qtrly</v>
          </cell>
          <cell r="L17" t="str">
            <v>Fringe Benefit Rate</v>
          </cell>
          <cell r="M17" t="str">
            <v>L</v>
          </cell>
          <cell r="O17">
            <v>0.49199999999999999</v>
          </cell>
          <cell r="P17" t="str">
            <v>o</v>
          </cell>
          <cell r="Q17" t="str">
            <v>Qtrly</v>
          </cell>
          <cell r="V17" t="str">
            <v/>
          </cell>
          <cell r="W17" t="str">
            <v/>
          </cell>
          <cell r="Y17" t="str">
            <v>Q</v>
          </cell>
          <cell r="Z17" t="str">
            <v>O</v>
          </cell>
        </row>
        <row r="19">
          <cell r="A19" t="str">
            <v>SAFE, RELIABLE</v>
          </cell>
          <cell r="B19" t="str">
            <v>PSE&amp;G</v>
          </cell>
          <cell r="L19" t="str">
            <v>SAFE, RELIABLE</v>
          </cell>
          <cell r="M19" t="str">
            <v>PSE&amp;G</v>
          </cell>
        </row>
        <row r="20">
          <cell r="B20" t="str">
            <v>L/H</v>
          </cell>
          <cell r="C20" t="str">
            <v>Feb 08 YTD</v>
          </cell>
          <cell r="D20" t="str">
            <v>2009 Target</v>
          </cell>
          <cell r="E20" t="str">
            <v>YE Forecast</v>
          </cell>
          <cell r="F20" t="str">
            <v>PSE&amp;G</v>
          </cell>
          <cell r="G20" t="str">
            <v>Cust Ops</v>
          </cell>
          <cell r="H20" t="str">
            <v>Gas</v>
          </cell>
          <cell r="I20" t="str">
            <v>Electric</v>
          </cell>
          <cell r="J20" t="str">
            <v>Other</v>
          </cell>
          <cell r="M20" t="str">
            <v>L/H</v>
          </cell>
          <cell r="N20" t="str">
            <v>Feb 08</v>
          </cell>
          <cell r="O20" t="str">
            <v>2009 Target</v>
          </cell>
          <cell r="P20" t="str">
            <v>Monthly / Quarterly Status</v>
          </cell>
          <cell r="Q20" t="str">
            <v>PSE&amp;G</v>
          </cell>
          <cell r="R20" t="str">
            <v>Cust Ops</v>
          </cell>
          <cell r="S20" t="str">
            <v>Gas</v>
          </cell>
          <cell r="T20" t="str">
            <v>Electric</v>
          </cell>
          <cell r="U20" t="str">
            <v>Other</v>
          </cell>
        </row>
        <row r="21">
          <cell r="A21" t="str">
            <v>SAIFI</v>
          </cell>
          <cell r="B21" t="str">
            <v>L</v>
          </cell>
          <cell r="C21">
            <v>7.0000000000000007E-2</v>
          </cell>
          <cell r="D21">
            <v>0.72</v>
          </cell>
          <cell r="E21" t="str">
            <v>é</v>
          </cell>
          <cell r="F21">
            <v>0.1</v>
          </cell>
          <cell r="I21">
            <v>0.1</v>
          </cell>
          <cell r="L21" t="str">
            <v>SAIFI</v>
          </cell>
          <cell r="M21" t="str">
            <v>L</v>
          </cell>
          <cell r="N21">
            <v>0.04</v>
          </cell>
          <cell r="O21">
            <v>4.2691480792882201E-2</v>
          </cell>
          <cell r="P21" t="str">
            <v>+</v>
          </cell>
          <cell r="Q21">
            <v>0.06</v>
          </cell>
          <cell r="T21">
            <v>0.04</v>
          </cell>
          <cell r="V21" t="str">
            <v>é</v>
          </cell>
          <cell r="W21" t="str">
            <v>ê</v>
          </cell>
          <cell r="Y21" t="str">
            <v>M</v>
          </cell>
          <cell r="Z21" t="str">
            <v>O</v>
          </cell>
        </row>
        <row r="22">
          <cell r="A22" t="str">
            <v>MAIFI</v>
          </cell>
          <cell r="B22" t="str">
            <v>L</v>
          </cell>
          <cell r="C22">
            <v>0.12</v>
          </cell>
          <cell r="D22">
            <v>1.25</v>
          </cell>
          <cell r="E22" t="str">
            <v>é</v>
          </cell>
          <cell r="F22">
            <v>0.16</v>
          </cell>
          <cell r="I22">
            <v>0.16</v>
          </cell>
          <cell r="L22" t="str">
            <v>MAIFI</v>
          </cell>
          <cell r="M22" t="str">
            <v>L</v>
          </cell>
          <cell r="N22">
            <v>0.06</v>
          </cell>
          <cell r="O22">
            <v>6.6449275362318858E-2</v>
          </cell>
          <cell r="P22" t="str">
            <v>-</v>
          </cell>
          <cell r="Q22">
            <v>0.09</v>
          </cell>
          <cell r="T22">
            <v>7.0000000000000007E-2</v>
          </cell>
          <cell r="V22" t="str">
            <v>é</v>
          </cell>
          <cell r="W22" t="str">
            <v>ê</v>
          </cell>
          <cell r="Y22" t="str">
            <v>M</v>
          </cell>
          <cell r="Z22" t="str">
            <v>O</v>
          </cell>
        </row>
        <row r="23">
          <cell r="A23" t="str">
            <v>CAIDI</v>
          </cell>
          <cell r="B23" t="str">
            <v>L</v>
          </cell>
          <cell r="C23">
            <v>63.1</v>
          </cell>
          <cell r="D23">
            <v>66.5</v>
          </cell>
          <cell r="E23" t="str">
            <v>é</v>
          </cell>
          <cell r="F23">
            <v>65.400000000000006</v>
          </cell>
          <cell r="I23">
            <v>65.400000000000006</v>
          </cell>
          <cell r="L23" t="str">
            <v>CAIDI</v>
          </cell>
          <cell r="M23" t="str">
            <v>L</v>
          </cell>
          <cell r="N23">
            <v>66.599999999999994</v>
          </cell>
          <cell r="O23">
            <v>61.148717621805211</v>
          </cell>
          <cell r="P23" t="str">
            <v>-</v>
          </cell>
          <cell r="Q23">
            <v>75.7</v>
          </cell>
          <cell r="T23">
            <v>52.21</v>
          </cell>
          <cell r="V23" t="str">
            <v>é</v>
          </cell>
          <cell r="W23" t="str">
            <v>ê</v>
          </cell>
          <cell r="Y23" t="str">
            <v>M</v>
          </cell>
          <cell r="Z23" t="str">
            <v>O</v>
          </cell>
        </row>
        <row r="24">
          <cell r="A24" t="str">
            <v>CEMI</v>
          </cell>
          <cell r="B24" t="str">
            <v>L</v>
          </cell>
          <cell r="C24">
            <v>0</v>
          </cell>
          <cell r="D24">
            <v>2.3E-2</v>
          </cell>
          <cell r="E24" t="str">
            <v>é</v>
          </cell>
          <cell r="F24">
            <v>0</v>
          </cell>
          <cell r="I24">
            <v>0</v>
          </cell>
          <cell r="L24" t="str">
            <v>CEMI</v>
          </cell>
          <cell r="M24" t="str">
            <v>L</v>
          </cell>
          <cell r="N24">
            <v>0</v>
          </cell>
          <cell r="O24">
            <v>0</v>
          </cell>
          <cell r="P24" t="str">
            <v>+</v>
          </cell>
          <cell r="Q24">
            <v>0</v>
          </cell>
          <cell r="T24">
            <v>0</v>
          </cell>
          <cell r="V24" t="str">
            <v>é</v>
          </cell>
          <cell r="W24" t="str">
            <v>é</v>
          </cell>
          <cell r="Y24" t="str">
            <v>M</v>
          </cell>
          <cell r="Z24" t="str">
            <v>O</v>
          </cell>
        </row>
        <row r="25">
          <cell r="A25" t="str">
            <v>Gas Leak Reports per Mile</v>
          </cell>
          <cell r="B25" t="str">
            <v>L</v>
          </cell>
          <cell r="C25">
            <v>3.2000000000000001E-2</v>
          </cell>
          <cell r="D25">
            <v>0.222</v>
          </cell>
          <cell r="E25" t="str">
            <v>çè</v>
          </cell>
          <cell r="F25">
            <v>3.5000000000000003E-2</v>
          </cell>
          <cell r="H25">
            <v>3.4910693509284683E-2</v>
          </cell>
          <cell r="L25" t="str">
            <v>Gas Leak Reports per Mile</v>
          </cell>
          <cell r="M25" t="str">
            <v>L</v>
          </cell>
          <cell r="N25">
            <v>1.4999999999999999E-2</v>
          </cell>
          <cell r="O25">
            <v>1.7603531999999998E-2</v>
          </cell>
          <cell r="P25" t="str">
            <v>+</v>
          </cell>
          <cell r="Q25">
            <v>1.2999999999999999E-2</v>
          </cell>
          <cell r="S25">
            <v>1.340477380156173E-2</v>
          </cell>
          <cell r="V25" t="str">
            <v>é</v>
          </cell>
          <cell r="W25" t="str">
            <v>ê</v>
          </cell>
          <cell r="Y25" t="str">
            <v>M</v>
          </cell>
          <cell r="Z25" t="str">
            <v>O</v>
          </cell>
        </row>
        <row r="26">
          <cell r="A26" t="str">
            <v>Damages per 1,000 Locate Requests</v>
          </cell>
          <cell r="B26" t="str">
            <v>L</v>
          </cell>
          <cell r="C26">
            <v>1.97</v>
          </cell>
          <cell r="D26">
            <v>1.97</v>
          </cell>
          <cell r="E26" t="str">
            <v>é</v>
          </cell>
          <cell r="F26">
            <v>1.21</v>
          </cell>
          <cell r="H26">
            <v>1.2072757195604744</v>
          </cell>
          <cell r="L26" t="str">
            <v>Damages per 1,000 Locate Requests</v>
          </cell>
          <cell r="M26" t="str">
            <v>L</v>
          </cell>
          <cell r="N26">
            <v>1.94</v>
          </cell>
          <cell r="O26">
            <v>1.97</v>
          </cell>
          <cell r="P26" t="str">
            <v>+</v>
          </cell>
          <cell r="Q26">
            <v>1.04</v>
          </cell>
          <cell r="S26">
            <v>1.0389903870661283</v>
          </cell>
          <cell r="V26" t="str">
            <v>é</v>
          </cell>
          <cell r="W26" t="str">
            <v>é</v>
          </cell>
          <cell r="Y26" t="str">
            <v>M</v>
          </cell>
          <cell r="Z26" t="str">
            <v>O</v>
          </cell>
        </row>
        <row r="27">
          <cell r="A27" t="str">
            <v>Leak Response Rate</v>
          </cell>
          <cell r="B27" t="str">
            <v>H</v>
          </cell>
          <cell r="C27">
            <v>0.999</v>
          </cell>
          <cell r="D27">
            <v>0.99900000000000011</v>
          </cell>
          <cell r="E27" t="str">
            <v>é</v>
          </cell>
          <cell r="F27">
            <v>0.999</v>
          </cell>
          <cell r="H27">
            <v>0.999</v>
          </cell>
          <cell r="L27" t="str">
            <v>Leak Response Rate</v>
          </cell>
          <cell r="M27" t="str">
            <v>H</v>
          </cell>
          <cell r="N27">
            <v>0.999</v>
          </cell>
          <cell r="O27">
            <v>0.99900000000000011</v>
          </cell>
          <cell r="P27" t="str">
            <v>+</v>
          </cell>
          <cell r="Q27">
            <v>0.999</v>
          </cell>
          <cell r="S27">
            <v>0.999</v>
          </cell>
          <cell r="V27" t="str">
            <v>é</v>
          </cell>
          <cell r="W27" t="str">
            <v>é</v>
          </cell>
          <cell r="Y27" t="str">
            <v>M</v>
          </cell>
          <cell r="Z27" t="str">
            <v>O</v>
          </cell>
        </row>
        <row r="28">
          <cell r="A28" t="str">
            <v>Fix It Right</v>
          </cell>
          <cell r="B28" t="str">
            <v>H</v>
          </cell>
          <cell r="C28">
            <v>0.84299999999999997</v>
          </cell>
          <cell r="D28" t="str">
            <v>N/A</v>
          </cell>
          <cell r="E28" t="str">
            <v>N/A</v>
          </cell>
          <cell r="F28">
            <v>0.83082981275752354</v>
          </cell>
          <cell r="H28">
            <v>0.83099999999999996</v>
          </cell>
          <cell r="L28" t="str">
            <v>Fix It Right</v>
          </cell>
          <cell r="M28" t="str">
            <v>H</v>
          </cell>
          <cell r="N28">
            <v>0.84699999999999998</v>
          </cell>
          <cell r="O28" t="str">
            <v>N/A</v>
          </cell>
          <cell r="P28" t="str">
            <v>N/A</v>
          </cell>
          <cell r="Q28">
            <v>0.83671658815825611</v>
          </cell>
          <cell r="S28">
            <v>0.83699999999999997</v>
          </cell>
          <cell r="V28" t="str">
            <v/>
          </cell>
          <cell r="W28" t="str">
            <v>ê</v>
          </cell>
          <cell r="Y28" t="str">
            <v>M</v>
          </cell>
          <cell r="Z28" t="str">
            <v>O</v>
          </cell>
        </row>
        <row r="29">
          <cell r="A29" t="str">
            <v>Percent of Actual Meters Read</v>
          </cell>
          <cell r="B29" t="str">
            <v>H</v>
          </cell>
          <cell r="C29">
            <v>0.89900000000000002</v>
          </cell>
          <cell r="D29">
            <v>0.90100000000000002</v>
          </cell>
          <cell r="E29" t="str">
            <v>é</v>
          </cell>
          <cell r="F29">
            <v>0.879</v>
          </cell>
          <cell r="G29">
            <v>0.879</v>
          </cell>
          <cell r="L29" t="str">
            <v>Percent of Actual Meters Read</v>
          </cell>
          <cell r="M29" t="str">
            <v>H</v>
          </cell>
          <cell r="N29">
            <v>0.89200000000000002</v>
          </cell>
          <cell r="O29">
            <v>0.90100000000000002</v>
          </cell>
          <cell r="P29" t="str">
            <v>-</v>
          </cell>
          <cell r="Q29">
            <v>0.88300000000000001</v>
          </cell>
          <cell r="R29">
            <v>0.88300000000000001</v>
          </cell>
          <cell r="V29" t="str">
            <v>ê</v>
          </cell>
          <cell r="W29" t="str">
            <v>ê</v>
          </cell>
          <cell r="Y29" t="str">
            <v>M</v>
          </cell>
          <cell r="Z29" t="str">
            <v>O</v>
          </cell>
        </row>
        <row r="30">
          <cell r="A30" t="str">
            <v>Gen'l Inquiry Service Level (30 sec.)</v>
          </cell>
          <cell r="B30" t="str">
            <v>H</v>
          </cell>
          <cell r="C30">
            <v>0.76800000000000002</v>
          </cell>
          <cell r="D30">
            <v>0.51</v>
          </cell>
          <cell r="E30" t="str">
            <v>é</v>
          </cell>
          <cell r="F30">
            <v>0.66100000000000003</v>
          </cell>
          <cell r="G30">
            <v>0.66100000000000003</v>
          </cell>
          <cell r="L30" t="str">
            <v>Gen'l Inquiry Service Level (30 sec.)</v>
          </cell>
          <cell r="M30" t="str">
            <v>H</v>
          </cell>
          <cell r="N30">
            <v>0.748</v>
          </cell>
          <cell r="O30">
            <v>0.51</v>
          </cell>
          <cell r="P30" t="str">
            <v>+</v>
          </cell>
          <cell r="Q30">
            <v>0.627</v>
          </cell>
          <cell r="R30">
            <v>0.627</v>
          </cell>
          <cell r="V30" t="str">
            <v>é</v>
          </cell>
          <cell r="W30" t="str">
            <v>ê</v>
          </cell>
          <cell r="Y30" t="str">
            <v>M</v>
          </cell>
          <cell r="Z30" t="str">
            <v>O</v>
          </cell>
        </row>
        <row r="31">
          <cell r="A31" t="str">
            <v>First Contact Resolution</v>
          </cell>
          <cell r="B31" t="str">
            <v>H</v>
          </cell>
          <cell r="C31">
            <v>0.86599999999999999</v>
          </cell>
          <cell r="D31" t="str">
            <v>N/A</v>
          </cell>
          <cell r="E31" t="str">
            <v>é</v>
          </cell>
          <cell r="F31">
            <v>0.86299999999999999</v>
          </cell>
          <cell r="G31">
            <v>0.86299999999999999</v>
          </cell>
          <cell r="L31" t="str">
            <v>First Contact Resolution</v>
          </cell>
          <cell r="M31" t="str">
            <v>H</v>
          </cell>
          <cell r="N31">
            <v>0.86599999999999999</v>
          </cell>
          <cell r="O31" t="str">
            <v>N/A</v>
          </cell>
          <cell r="P31" t="str">
            <v>N/A</v>
          </cell>
          <cell r="Q31">
            <v>0.86599999999999999</v>
          </cell>
          <cell r="R31">
            <v>0.86599999999999999</v>
          </cell>
          <cell r="V31" t="str">
            <v/>
          </cell>
          <cell r="W31" t="str">
            <v>ê</v>
          </cell>
          <cell r="Y31" t="str">
            <v>M</v>
          </cell>
          <cell r="Z31" t="str">
            <v>O</v>
          </cell>
        </row>
        <row r="32">
          <cell r="A32" t="str">
            <v>BPU Inquiry Rate-Collection</v>
          </cell>
          <cell r="B32" t="str">
            <v>L</v>
          </cell>
          <cell r="C32">
            <v>0.81</v>
          </cell>
          <cell r="D32">
            <v>1.25</v>
          </cell>
          <cell r="E32" t="str">
            <v>é</v>
          </cell>
          <cell r="F32">
            <v>1.41</v>
          </cell>
          <cell r="G32">
            <v>1.41</v>
          </cell>
          <cell r="L32" t="str">
            <v>BPU Inquiry Rate-Collection</v>
          </cell>
          <cell r="M32" t="str">
            <v>L</v>
          </cell>
          <cell r="N32">
            <v>0.7</v>
          </cell>
          <cell r="O32">
            <v>1.25</v>
          </cell>
          <cell r="P32" t="str">
            <v>-</v>
          </cell>
          <cell r="Q32">
            <v>1.87</v>
          </cell>
          <cell r="R32">
            <v>1.87</v>
          </cell>
          <cell r="V32" t="str">
            <v>ê</v>
          </cell>
          <cell r="W32" t="str">
            <v>ê</v>
          </cell>
          <cell r="Y32" t="str">
            <v>M</v>
          </cell>
          <cell r="Z32" t="str">
            <v>C</v>
          </cell>
        </row>
        <row r="33">
          <cell r="A33" t="str">
            <v>BPU Inquiries - Non-Collection</v>
          </cell>
          <cell r="B33" t="str">
            <v>L</v>
          </cell>
          <cell r="C33">
            <v>223</v>
          </cell>
          <cell r="D33">
            <v>1500</v>
          </cell>
          <cell r="E33" t="str">
            <v>é</v>
          </cell>
          <cell r="F33">
            <v>448</v>
          </cell>
          <cell r="G33">
            <v>346</v>
          </cell>
          <cell r="H33">
            <v>48</v>
          </cell>
          <cell r="I33">
            <v>24</v>
          </cell>
          <cell r="J33">
            <v>30</v>
          </cell>
          <cell r="L33" t="str">
            <v>BPU Inquiries - Non-Collection</v>
          </cell>
          <cell r="M33" t="str">
            <v>L</v>
          </cell>
          <cell r="N33">
            <v>103</v>
          </cell>
          <cell r="O33" t="str">
            <v>N/A</v>
          </cell>
          <cell r="P33" t="str">
            <v>N/A</v>
          </cell>
          <cell r="Q33">
            <v>270</v>
          </cell>
          <cell r="R33">
            <v>210</v>
          </cell>
          <cell r="S33">
            <v>33</v>
          </cell>
          <cell r="T33">
            <v>11</v>
          </cell>
          <cell r="U33">
            <v>14</v>
          </cell>
          <cell r="V33" t="str">
            <v>é</v>
          </cell>
          <cell r="W33" t="str">
            <v>ê</v>
          </cell>
          <cell r="Y33" t="str">
            <v>M</v>
          </cell>
          <cell r="Z33" t="str">
            <v>O</v>
          </cell>
        </row>
        <row r="34">
          <cell r="A34" t="str">
            <v>Perception Survey (Res/Sm Business)</v>
          </cell>
          <cell r="B34" t="str">
            <v>H</v>
          </cell>
          <cell r="C34">
            <v>74</v>
          </cell>
          <cell r="D34">
            <v>76</v>
          </cell>
          <cell r="E34" t="str">
            <v>é</v>
          </cell>
          <cell r="F34">
            <v>75</v>
          </cell>
          <cell r="L34" t="str">
            <v>Perception Survey (Res/Sm Business)</v>
          </cell>
          <cell r="M34" t="str">
            <v>H</v>
          </cell>
          <cell r="N34">
            <v>74</v>
          </cell>
          <cell r="O34">
            <v>76</v>
          </cell>
          <cell r="P34" t="str">
            <v>-</v>
          </cell>
          <cell r="Q34">
            <v>75</v>
          </cell>
          <cell r="V34" t="str">
            <v>ê</v>
          </cell>
          <cell r="W34" t="str">
            <v>é</v>
          </cell>
          <cell r="Y34" t="str">
            <v>M</v>
          </cell>
          <cell r="Z34" t="str">
            <v>O</v>
          </cell>
        </row>
        <row r="35">
          <cell r="A35" t="str">
            <v>Perception Survey (Large Business)</v>
          </cell>
          <cell r="B35" t="str">
            <v>H</v>
          </cell>
          <cell r="C35">
            <v>76</v>
          </cell>
          <cell r="D35">
            <v>77</v>
          </cell>
          <cell r="E35" t="str">
            <v>é</v>
          </cell>
          <cell r="F35">
            <v>73</v>
          </cell>
          <cell r="L35" t="str">
            <v>Perception Survey (Large Business)</v>
          </cell>
          <cell r="M35" t="str">
            <v>H</v>
          </cell>
          <cell r="N35">
            <v>76</v>
          </cell>
          <cell r="O35">
            <v>77</v>
          </cell>
          <cell r="P35" t="str">
            <v>-</v>
          </cell>
          <cell r="Q35">
            <v>73</v>
          </cell>
          <cell r="V35" t="str">
            <v>ê</v>
          </cell>
          <cell r="W35" t="str">
            <v>ê</v>
          </cell>
          <cell r="Y35" t="str">
            <v>M</v>
          </cell>
          <cell r="Z35" t="str">
            <v>O</v>
          </cell>
        </row>
        <row r="36">
          <cell r="A36" t="str">
            <v>Moment of Truth Survey</v>
          </cell>
          <cell r="B36" t="str">
            <v>H</v>
          </cell>
          <cell r="C36" t="str">
            <v>Qtrly</v>
          </cell>
          <cell r="D36">
            <v>9</v>
          </cell>
          <cell r="E36" t="str">
            <v>é</v>
          </cell>
          <cell r="F36" t="str">
            <v>Qtrly</v>
          </cell>
          <cell r="G36" t="str">
            <v>Qtrly</v>
          </cell>
          <cell r="H36" t="str">
            <v>Qtrly</v>
          </cell>
          <cell r="I36" t="str">
            <v>Qtrly</v>
          </cell>
          <cell r="L36" t="str">
            <v>Moment of Truth Survey</v>
          </cell>
          <cell r="M36" t="str">
            <v>H</v>
          </cell>
          <cell r="N36" t="str">
            <v>Qtrly</v>
          </cell>
          <cell r="O36">
            <v>9</v>
          </cell>
          <cell r="P36" t="str">
            <v>o</v>
          </cell>
          <cell r="Q36" t="str">
            <v>Qtrly</v>
          </cell>
          <cell r="R36" t="str">
            <v>Qtrly</v>
          </cell>
          <cell r="S36" t="str">
            <v>Qtrly</v>
          </cell>
          <cell r="T36" t="str">
            <v>Qtrly</v>
          </cell>
          <cell r="V36" t="str">
            <v/>
          </cell>
          <cell r="W36" t="str">
            <v/>
          </cell>
          <cell r="Y36" t="str">
            <v>Q</v>
          </cell>
          <cell r="Z36" t="str">
            <v>O</v>
          </cell>
        </row>
        <row r="37">
          <cell r="A37" t="str">
            <v>New Business Construction Survey</v>
          </cell>
          <cell r="B37" t="str">
            <v>H</v>
          </cell>
          <cell r="C37" t="str">
            <v>Qtrly</v>
          </cell>
          <cell r="D37">
            <v>8.6</v>
          </cell>
          <cell r="E37" t="str">
            <v>é</v>
          </cell>
          <cell r="F37" t="str">
            <v>Qtrly</v>
          </cell>
          <cell r="G37" t="str">
            <v>Qtrly</v>
          </cell>
          <cell r="H37" t="str">
            <v>Qtrly</v>
          </cell>
          <cell r="I37" t="str">
            <v>Qtrly</v>
          </cell>
          <cell r="L37" t="str">
            <v>New Business Construction Survey</v>
          </cell>
          <cell r="M37" t="str">
            <v>H</v>
          </cell>
          <cell r="N37" t="str">
            <v>Qtrly</v>
          </cell>
          <cell r="O37">
            <v>8.6</v>
          </cell>
          <cell r="P37" t="str">
            <v>o</v>
          </cell>
          <cell r="Q37" t="str">
            <v>Qtrly</v>
          </cell>
          <cell r="R37" t="str">
            <v>Qtrly</v>
          </cell>
          <cell r="S37" t="str">
            <v>Qtrly</v>
          </cell>
          <cell r="T37" t="str">
            <v>Qtrly</v>
          </cell>
          <cell r="V37" t="str">
            <v/>
          </cell>
          <cell r="W37" t="str">
            <v/>
          </cell>
          <cell r="Y37" t="str">
            <v>Q</v>
          </cell>
          <cell r="Z37" t="str">
            <v>O</v>
          </cell>
        </row>
        <row r="39">
          <cell r="A39" t="str">
            <v>ECONOMIC</v>
          </cell>
          <cell r="B39" t="str">
            <v>PSE&amp;G</v>
          </cell>
          <cell r="L39" t="str">
            <v>ECONOMIC</v>
          </cell>
          <cell r="M39" t="str">
            <v>PSE&amp;G</v>
          </cell>
        </row>
        <row r="40">
          <cell r="B40" t="str">
            <v>L/H</v>
          </cell>
          <cell r="C40" t="str">
            <v>Feb 08 YTD</v>
          </cell>
          <cell r="D40" t="str">
            <v>2009 Target</v>
          </cell>
          <cell r="E40" t="str">
            <v>YE Forecast</v>
          </cell>
          <cell r="F40" t="str">
            <v>PSE&amp;G</v>
          </cell>
          <cell r="G40" t="str">
            <v>Cust Ops</v>
          </cell>
          <cell r="H40" t="str">
            <v>Gas</v>
          </cell>
          <cell r="I40" t="str">
            <v>Electric</v>
          </cell>
          <cell r="J40" t="str">
            <v>Other</v>
          </cell>
          <cell r="M40" t="str">
            <v>L/H</v>
          </cell>
          <cell r="N40" t="str">
            <v>Feb 08</v>
          </cell>
          <cell r="O40" t="str">
            <v>2009 Target</v>
          </cell>
          <cell r="P40" t="str">
            <v>Monthly / Quarterly Status</v>
          </cell>
          <cell r="Q40" t="str">
            <v>PSE&amp;G</v>
          </cell>
          <cell r="R40" t="str">
            <v>Cust Ops</v>
          </cell>
          <cell r="S40" t="str">
            <v>Gas</v>
          </cell>
          <cell r="T40" t="str">
            <v>Electric</v>
          </cell>
          <cell r="U40" t="str">
            <v>Other</v>
          </cell>
        </row>
        <row r="41">
          <cell r="A41" t="str">
            <v>Total CapEx ($M)</v>
          </cell>
          <cell r="B41" t="str">
            <v>L</v>
          </cell>
          <cell r="C41">
            <v>97.8</v>
          </cell>
          <cell r="D41">
            <v>775.6</v>
          </cell>
          <cell r="E41" t="str">
            <v>é</v>
          </cell>
          <cell r="F41">
            <v>130.6</v>
          </cell>
          <cell r="G41">
            <v>12.3</v>
          </cell>
          <cell r="H41">
            <v>23.566223469999997</v>
          </cell>
          <cell r="I41">
            <v>94.696738999999994</v>
          </cell>
          <cell r="J41">
            <v>0</v>
          </cell>
          <cell r="L41" t="str">
            <v>Total CapEx ($M)</v>
          </cell>
          <cell r="M41" t="str">
            <v>L</v>
          </cell>
          <cell r="N41">
            <v>52.4</v>
          </cell>
          <cell r="O41">
            <v>68</v>
          </cell>
          <cell r="P41" t="str">
            <v>+</v>
          </cell>
          <cell r="Q41">
            <v>70.117122129999998</v>
          </cell>
          <cell r="R41">
            <v>7.1</v>
          </cell>
          <cell r="S41">
            <v>11.289068289999999</v>
          </cell>
          <cell r="T41">
            <v>51.745144000000003</v>
          </cell>
          <cell r="U41">
            <v>0</v>
          </cell>
          <cell r="V41" t="str">
            <v>é</v>
          </cell>
          <cell r="W41" t="str">
            <v>ê</v>
          </cell>
          <cell r="Y41" t="str">
            <v>M</v>
          </cell>
          <cell r="Z41" t="str">
            <v>O</v>
          </cell>
        </row>
        <row r="42">
          <cell r="A42" t="str">
            <v>Accountability O&amp;M ($M)</v>
          </cell>
          <cell r="B42" t="str">
            <v>L</v>
          </cell>
          <cell r="C42">
            <v>124</v>
          </cell>
          <cell r="D42">
            <v>784.5</v>
          </cell>
          <cell r="E42" t="str">
            <v>é</v>
          </cell>
          <cell r="F42">
            <v>127.39</v>
          </cell>
          <cell r="G42">
            <v>27.665000000000003</v>
          </cell>
          <cell r="H42">
            <v>43.884999999999998</v>
          </cell>
          <cell r="I42">
            <v>51.056058596400753</v>
          </cell>
          <cell r="J42">
            <v>4.7</v>
          </cell>
          <cell r="L42" t="str">
            <v>Accountability O&amp;M ($M)</v>
          </cell>
          <cell r="M42" t="str">
            <v>L</v>
          </cell>
          <cell r="N42">
            <v>60.8</v>
          </cell>
          <cell r="O42">
            <v>60.57</v>
          </cell>
          <cell r="P42" t="str">
            <v>-</v>
          </cell>
          <cell r="Q42">
            <v>60.91</v>
          </cell>
          <cell r="R42">
            <v>13.532000000000002</v>
          </cell>
          <cell r="S42">
            <v>20.233000000000001</v>
          </cell>
          <cell r="T42">
            <v>24.601637179702145</v>
          </cell>
          <cell r="U42">
            <v>2.6000000000000005</v>
          </cell>
          <cell r="V42" t="str">
            <v>é</v>
          </cell>
          <cell r="W42" t="str">
            <v>ê</v>
          </cell>
          <cell r="Y42" t="str">
            <v>M</v>
          </cell>
          <cell r="Z42" t="str">
            <v>O</v>
          </cell>
        </row>
        <row r="43">
          <cell r="A43" t="str">
            <v>Controllable O&amp;M ($M)</v>
          </cell>
          <cell r="B43" t="str">
            <v>L</v>
          </cell>
          <cell r="C43">
            <v>77.5</v>
          </cell>
          <cell r="D43">
            <v>991.4</v>
          </cell>
          <cell r="E43" t="str">
            <v>é</v>
          </cell>
          <cell r="F43">
            <v>158.5</v>
          </cell>
          <cell r="L43" t="str">
            <v>Controllable O&amp;M ($M)</v>
          </cell>
          <cell r="M43" t="str">
            <v>L</v>
          </cell>
          <cell r="N43">
            <v>77.5</v>
          </cell>
          <cell r="O43">
            <v>76.400000000000006</v>
          </cell>
          <cell r="P43" t="str">
            <v>-</v>
          </cell>
          <cell r="Q43">
            <v>76.2</v>
          </cell>
          <cell r="V43" t="str">
            <v>é</v>
          </cell>
          <cell r="W43" t="str">
            <v>ê</v>
          </cell>
          <cell r="Y43" t="str">
            <v>M</v>
          </cell>
          <cell r="Z43" t="str">
            <v>N</v>
          </cell>
        </row>
        <row r="44">
          <cell r="A44" t="str">
            <v>Net Write-Off ($) /$100 billed</v>
          </cell>
          <cell r="B44" t="str">
            <v>L</v>
          </cell>
          <cell r="C44">
            <v>0.7</v>
          </cell>
          <cell r="D44">
            <v>0.82</v>
          </cell>
          <cell r="E44" t="str">
            <v>é</v>
          </cell>
          <cell r="F44">
            <v>0.71</v>
          </cell>
          <cell r="G44">
            <v>0.71</v>
          </cell>
          <cell r="L44" t="str">
            <v>Net Write-Off ($) /$100 billed</v>
          </cell>
          <cell r="M44" t="str">
            <v>L</v>
          </cell>
          <cell r="N44">
            <v>0.71</v>
          </cell>
          <cell r="O44">
            <v>0.82</v>
          </cell>
          <cell r="P44" t="str">
            <v>+</v>
          </cell>
          <cell r="Q44">
            <v>0.69</v>
          </cell>
          <cell r="R44">
            <v>0.69</v>
          </cell>
          <cell r="V44" t="str">
            <v>é</v>
          </cell>
          <cell r="W44" t="str">
            <v>ê</v>
          </cell>
          <cell r="Y44" t="str">
            <v>M</v>
          </cell>
          <cell r="Z44" t="str">
            <v>O</v>
          </cell>
        </row>
        <row r="45">
          <cell r="A45" t="str">
            <v>Days Sales Outstanding</v>
          </cell>
          <cell r="B45" t="str">
            <v>L</v>
          </cell>
          <cell r="C45">
            <v>36.4</v>
          </cell>
          <cell r="D45">
            <v>34.5</v>
          </cell>
          <cell r="E45" t="str">
            <v>é</v>
          </cell>
          <cell r="F45">
            <v>33.700000000000003</v>
          </cell>
          <cell r="G45">
            <v>33.700000000000003</v>
          </cell>
          <cell r="L45" t="str">
            <v>Days Sales Outstanding</v>
          </cell>
          <cell r="M45" t="str">
            <v>L</v>
          </cell>
          <cell r="N45">
            <v>35.1</v>
          </cell>
          <cell r="O45">
            <v>34.5</v>
          </cell>
          <cell r="P45" t="str">
            <v>-</v>
          </cell>
          <cell r="Q45">
            <v>26.6</v>
          </cell>
          <cell r="R45">
            <v>26.6</v>
          </cell>
          <cell r="V45" t="str">
            <v>é</v>
          </cell>
          <cell r="W45" t="str">
            <v>é</v>
          </cell>
          <cell r="Y45" t="str">
            <v>M</v>
          </cell>
          <cell r="Z45" t="str">
            <v>O</v>
          </cell>
        </row>
        <row r="46">
          <cell r="A46" t="str">
            <v>Funds from Operations/Debt</v>
          </cell>
          <cell r="B46" t="str">
            <v>H</v>
          </cell>
          <cell r="C46" t="str">
            <v>Qrtly</v>
          </cell>
          <cell r="D46">
            <v>0.19500000000000001</v>
          </cell>
          <cell r="E46" t="str">
            <v>é</v>
          </cell>
          <cell r="F46" t="str">
            <v>Qtrly</v>
          </cell>
          <cell r="L46" t="str">
            <v>Funds from Operations/Debt</v>
          </cell>
          <cell r="M46" t="str">
            <v>H</v>
          </cell>
          <cell r="P46" t="str">
            <v xml:space="preserve"> </v>
          </cell>
          <cell r="V46" t="str">
            <v/>
          </cell>
          <cell r="W46" t="str">
            <v/>
          </cell>
          <cell r="Y46" t="str">
            <v>Q</v>
          </cell>
          <cell r="Z46" t="str">
            <v>O</v>
          </cell>
        </row>
        <row r="47">
          <cell r="A47" t="str">
            <v>ROIC</v>
          </cell>
          <cell r="B47" t="str">
            <v>H</v>
          </cell>
          <cell r="C47">
            <v>7.22E-2</v>
          </cell>
          <cell r="D47">
            <v>6.2E-2</v>
          </cell>
          <cell r="E47" t="str">
            <v>é</v>
          </cell>
          <cell r="F47">
            <v>6.9400000000000003E-2</v>
          </cell>
          <cell r="L47" t="str">
            <v>ROIC</v>
          </cell>
          <cell r="M47" t="str">
            <v>H</v>
          </cell>
          <cell r="N47">
            <v>7.22E-2</v>
          </cell>
          <cell r="O47">
            <v>6.2E-2</v>
          </cell>
          <cell r="P47" t="str">
            <v>+</v>
          </cell>
          <cell r="Q47">
            <v>6.9400000000000003E-2</v>
          </cell>
          <cell r="V47" t="str">
            <v>é</v>
          </cell>
          <cell r="W47" t="str">
            <v>é</v>
          </cell>
          <cell r="Y47" t="str">
            <v>M</v>
          </cell>
          <cell r="Z47" t="str">
            <v>O</v>
          </cell>
        </row>
        <row r="48">
          <cell r="A48" t="str">
            <v>Administrative cost of PSE&amp;G Solar Loan Program</v>
          </cell>
          <cell r="B48" t="str">
            <v>H</v>
          </cell>
          <cell r="C48" t="str">
            <v>Qtrly</v>
          </cell>
          <cell r="D48">
            <v>1939</v>
          </cell>
          <cell r="E48" t="str">
            <v>é</v>
          </cell>
          <cell r="F48" t="str">
            <v>Qtrly</v>
          </cell>
          <cell r="J48" t="str">
            <v>Qtrly</v>
          </cell>
          <cell r="L48" t="str">
            <v>Administrative cost of PSE&amp;G Solar Loan Program</v>
          </cell>
          <cell r="M48" t="str">
            <v>H</v>
          </cell>
          <cell r="N48" t="str">
            <v>Qtrly</v>
          </cell>
          <cell r="O48" t="str">
            <v xml:space="preserve"> </v>
          </cell>
          <cell r="P48" t="str">
            <v>o</v>
          </cell>
          <cell r="Q48" t="str">
            <v>Qtrly</v>
          </cell>
          <cell r="U48" t="str">
            <v>Qtrly</v>
          </cell>
          <cell r="V48" t="str">
            <v/>
          </cell>
          <cell r="W48" t="str">
            <v/>
          </cell>
          <cell r="Y48" t="str">
            <v>Q</v>
          </cell>
          <cell r="Z48" t="str">
            <v>N</v>
          </cell>
        </row>
        <row r="49">
          <cell r="A49" t="str">
            <v>EE-Productivity Measure (carbon abatement)</v>
          </cell>
          <cell r="B49" t="str">
            <v>L</v>
          </cell>
          <cell r="C49" t="str">
            <v>Qtrly</v>
          </cell>
          <cell r="D49">
            <v>0.26</v>
          </cell>
          <cell r="E49" t="str">
            <v>é</v>
          </cell>
          <cell r="F49" t="str">
            <v>Qtrly</v>
          </cell>
          <cell r="J49" t="str">
            <v>Qtrly</v>
          </cell>
          <cell r="L49" t="str">
            <v>EE-Productivity Measure (carbon abatement)</v>
          </cell>
          <cell r="M49" t="str">
            <v>L</v>
          </cell>
          <cell r="N49" t="str">
            <v>Qtrly</v>
          </cell>
          <cell r="O49" t="str">
            <v xml:space="preserve"> </v>
          </cell>
          <cell r="P49" t="str">
            <v>o</v>
          </cell>
          <cell r="Q49" t="str">
            <v>Qtrly</v>
          </cell>
          <cell r="U49" t="str">
            <v>Qtrly</v>
          </cell>
          <cell r="V49" t="str">
            <v/>
          </cell>
          <cell r="W49" t="str">
            <v/>
          </cell>
          <cell r="Y49" t="str">
            <v>Q</v>
          </cell>
          <cell r="Z49" t="str">
            <v>N</v>
          </cell>
        </row>
        <row r="50">
          <cell r="A50" t="str">
            <v>Capital Projects' Results</v>
          </cell>
          <cell r="B50" t="str">
            <v>H</v>
          </cell>
          <cell r="C50" t="str">
            <v>Qtrly</v>
          </cell>
          <cell r="D50">
            <v>0.82899999999999996</v>
          </cell>
          <cell r="E50" t="str">
            <v>é</v>
          </cell>
          <cell r="F50" t="str">
            <v>Qtrly</v>
          </cell>
          <cell r="G50" t="str">
            <v>Qtrly</v>
          </cell>
          <cell r="H50" t="str">
            <v>Qtrly</v>
          </cell>
          <cell r="I50" t="str">
            <v>Qtrly</v>
          </cell>
          <cell r="L50" t="str">
            <v>Capital Projects' Results</v>
          </cell>
          <cell r="M50" t="str">
            <v>H</v>
          </cell>
          <cell r="P50" t="str">
            <v xml:space="preserve"> </v>
          </cell>
          <cell r="V50" t="str">
            <v/>
          </cell>
          <cell r="W50" t="str">
            <v/>
          </cell>
          <cell r="Y50" t="str">
            <v>Q</v>
          </cell>
          <cell r="Z50" t="str">
            <v>N</v>
          </cell>
        </row>
        <row r="51">
          <cell r="A51" t="str">
            <v>Current Capital Performance</v>
          </cell>
          <cell r="B51" t="str">
            <v>H</v>
          </cell>
          <cell r="D51">
            <v>1</v>
          </cell>
          <cell r="E51" t="str">
            <v>é</v>
          </cell>
          <cell r="F51">
            <v>0.92</v>
          </cell>
          <cell r="G51">
            <v>1.1000000000000001</v>
          </cell>
          <cell r="I51">
            <v>0.84256725850135439</v>
          </cell>
          <cell r="L51" t="str">
            <v>Current Capital Performance</v>
          </cell>
          <cell r="M51" t="str">
            <v>H</v>
          </cell>
          <cell r="O51">
            <v>1</v>
          </cell>
          <cell r="P51" t="str">
            <v>o</v>
          </cell>
          <cell r="Q51">
            <v>0.92</v>
          </cell>
          <cell r="R51">
            <v>1.1000000000000001</v>
          </cell>
          <cell r="T51">
            <v>0.84256725850135439</v>
          </cell>
          <cell r="V51" t="str">
            <v>ê</v>
          </cell>
          <cell r="W51" t="str">
            <v/>
          </cell>
          <cell r="Y51" t="str">
            <v>M</v>
          </cell>
          <cell r="Z51" t="str">
            <v>N</v>
          </cell>
        </row>
        <row r="53">
          <cell r="A53" t="str">
            <v>GREEN ENERGY</v>
          </cell>
          <cell r="B53" t="str">
            <v>PSE&amp;G</v>
          </cell>
          <cell r="L53" t="str">
            <v>GREEN ENERGY</v>
          </cell>
          <cell r="M53" t="str">
            <v>PSE&amp;G</v>
          </cell>
        </row>
        <row r="54">
          <cell r="B54" t="str">
            <v>L/H</v>
          </cell>
          <cell r="C54" t="str">
            <v>Feb 08 YTD</v>
          </cell>
          <cell r="D54" t="str">
            <v>2009 Target</v>
          </cell>
          <cell r="E54" t="str">
            <v>YE Forecast</v>
          </cell>
          <cell r="F54" t="str">
            <v>PSE&amp;G</v>
          </cell>
          <cell r="G54" t="str">
            <v>Cust Ops</v>
          </cell>
          <cell r="H54" t="str">
            <v>Gas</v>
          </cell>
          <cell r="I54" t="str">
            <v>Electric</v>
          </cell>
          <cell r="J54" t="str">
            <v>Other</v>
          </cell>
          <cell r="M54" t="str">
            <v>L/H</v>
          </cell>
          <cell r="N54" t="str">
            <v>Feb 08</v>
          </cell>
          <cell r="O54" t="str">
            <v>2009 Target</v>
          </cell>
          <cell r="P54" t="str">
            <v>Monthly / Quarterly Status</v>
          </cell>
          <cell r="Q54" t="str">
            <v>PSE&amp;G</v>
          </cell>
          <cell r="R54" t="str">
            <v>Cust Ops</v>
          </cell>
          <cell r="S54" t="str">
            <v>Gas</v>
          </cell>
          <cell r="T54" t="str">
            <v>Electric</v>
          </cell>
          <cell r="U54" t="str">
            <v>Other</v>
          </cell>
        </row>
        <row r="55">
          <cell r="A55" t="str">
            <v>Fleet MPG</v>
          </cell>
          <cell r="B55" t="str">
            <v>H</v>
          </cell>
          <cell r="C55" t="str">
            <v>N/A</v>
          </cell>
          <cell r="D55">
            <v>8.9</v>
          </cell>
          <cell r="E55" t="str">
            <v>é</v>
          </cell>
          <cell r="F55">
            <v>8.7899999999999991</v>
          </cell>
          <cell r="L55" t="str">
            <v>Fleet MPG</v>
          </cell>
          <cell r="M55" t="str">
            <v>H</v>
          </cell>
          <cell r="N55">
            <v>0</v>
          </cell>
          <cell r="O55" t="str">
            <v xml:space="preserve"> </v>
          </cell>
          <cell r="P55" t="str">
            <v>o</v>
          </cell>
          <cell r="Q55">
            <v>0</v>
          </cell>
          <cell r="V55" t="str">
            <v>ê</v>
          </cell>
          <cell r="W55" t="str">
            <v/>
          </cell>
          <cell r="Y55" t="str">
            <v>M</v>
          </cell>
          <cell r="Z55" t="str">
            <v>O</v>
          </cell>
        </row>
        <row r="56">
          <cell r="A56" t="str">
            <v>Peak Demand Reduction (MW)</v>
          </cell>
          <cell r="B56" t="str">
            <v>H</v>
          </cell>
          <cell r="D56">
            <v>61.8</v>
          </cell>
          <cell r="E56" t="str">
            <v>é</v>
          </cell>
          <cell r="F56" t="str">
            <v>Qtrly</v>
          </cell>
          <cell r="J56" t="str">
            <v>Qtrly</v>
          </cell>
          <cell r="L56" t="str">
            <v>Peak Demand Reduction (MW)</v>
          </cell>
          <cell r="M56" t="str">
            <v>H</v>
          </cell>
          <cell r="O56">
            <v>61.8</v>
          </cell>
          <cell r="P56" t="str">
            <v>o</v>
          </cell>
          <cell r="Q56" t="str">
            <v>Qtrly</v>
          </cell>
          <cell r="U56" t="str">
            <v>Qtrly</v>
          </cell>
          <cell r="V56" t="str">
            <v/>
          </cell>
          <cell r="W56" t="str">
            <v/>
          </cell>
          <cell r="Y56" t="str">
            <v>Q</v>
          </cell>
          <cell r="Z56" t="str">
            <v>N</v>
          </cell>
        </row>
        <row r="57">
          <cell r="A57" t="str">
            <v>Renewable Energy Generated (kWh)</v>
          </cell>
          <cell r="B57" t="str">
            <v>H</v>
          </cell>
          <cell r="D57">
            <v>8479000</v>
          </cell>
          <cell r="E57" t="str">
            <v>é</v>
          </cell>
          <cell r="F57" t="str">
            <v>Qtrly</v>
          </cell>
          <cell r="J57" t="str">
            <v>Qtrly</v>
          </cell>
          <cell r="L57" t="str">
            <v>Renewable Energy Generated (kWh)</v>
          </cell>
          <cell r="M57" t="str">
            <v>H</v>
          </cell>
          <cell r="O57">
            <v>8479000</v>
          </cell>
          <cell r="P57" t="str">
            <v>o</v>
          </cell>
          <cell r="Q57" t="str">
            <v>Qtrly</v>
          </cell>
          <cell r="U57" t="str">
            <v>Qtrly</v>
          </cell>
          <cell r="V57" t="str">
            <v/>
          </cell>
          <cell r="W57" t="str">
            <v/>
          </cell>
          <cell r="Y57" t="str">
            <v>Q</v>
          </cell>
          <cell r="Z57" t="str">
            <v>N</v>
          </cell>
        </row>
        <row r="58">
          <cell r="A58" t="str">
            <v>Net Number of New Solar Meters in UEZs</v>
          </cell>
          <cell r="B58" t="str">
            <v>H</v>
          </cell>
          <cell r="D58">
            <v>6</v>
          </cell>
          <cell r="E58" t="str">
            <v>é</v>
          </cell>
          <cell r="F58" t="str">
            <v>Qtrly</v>
          </cell>
          <cell r="J58" t="str">
            <v>Qtrly</v>
          </cell>
          <cell r="L58" t="str">
            <v>Net Number of New Solar Meters in UEZs</v>
          </cell>
          <cell r="M58" t="str">
            <v>H</v>
          </cell>
          <cell r="O58">
            <v>6</v>
          </cell>
          <cell r="P58" t="str">
            <v>o</v>
          </cell>
          <cell r="Q58" t="str">
            <v>Qtrly</v>
          </cell>
          <cell r="U58" t="str">
            <v>Qtrly</v>
          </cell>
          <cell r="V58" t="str">
            <v/>
          </cell>
          <cell r="W58" t="str">
            <v/>
          </cell>
          <cell r="Y58" t="str">
            <v>Q</v>
          </cell>
          <cell r="Z58" t="str">
            <v>N</v>
          </cell>
        </row>
        <row r="59">
          <cell r="A59" t="str">
            <v>Non-Hazardous Waste</v>
          </cell>
          <cell r="B59" t="str">
            <v>L</v>
          </cell>
          <cell r="C59" t="str">
            <v>Qtrly</v>
          </cell>
          <cell r="D59">
            <v>0.96899999999999997</v>
          </cell>
          <cell r="E59" t="str">
            <v>é</v>
          </cell>
          <cell r="F59" t="str">
            <v>Qtrly</v>
          </cell>
          <cell r="G59" t="str">
            <v>Qtrly</v>
          </cell>
          <cell r="H59" t="str">
            <v>Qtrly</v>
          </cell>
          <cell r="I59" t="str">
            <v>Qtrly</v>
          </cell>
          <cell r="L59" t="str">
            <v>Non-Hazardous Waste</v>
          </cell>
          <cell r="M59" t="str">
            <v>L</v>
          </cell>
          <cell r="O59">
            <v>0.96899999999999997</v>
          </cell>
          <cell r="P59" t="str">
            <v>o</v>
          </cell>
          <cell r="Q59" t="str">
            <v>Qtrly</v>
          </cell>
          <cell r="R59" t="str">
            <v>Qtrly</v>
          </cell>
          <cell r="S59" t="str">
            <v>Qtrly</v>
          </cell>
          <cell r="T59" t="str">
            <v>Qtrly</v>
          </cell>
          <cell r="V59" t="str">
            <v/>
          </cell>
          <cell r="W59" t="str">
            <v/>
          </cell>
          <cell r="Y59" t="str">
            <v>Q</v>
          </cell>
          <cell r="Z59" t="str">
            <v>N</v>
          </cell>
        </row>
        <row r="60">
          <cell r="A60" t="str">
            <v>Hazardous Waste</v>
          </cell>
          <cell r="B60" t="str">
            <v>L</v>
          </cell>
          <cell r="C60" t="str">
            <v>Qtrly</v>
          </cell>
          <cell r="D60">
            <v>3.59</v>
          </cell>
          <cell r="E60" t="str">
            <v>é</v>
          </cell>
          <cell r="F60" t="str">
            <v>Qtrly</v>
          </cell>
          <cell r="G60" t="str">
            <v xml:space="preserve"> </v>
          </cell>
          <cell r="H60" t="str">
            <v xml:space="preserve"> </v>
          </cell>
          <cell r="I60" t="str">
            <v xml:space="preserve"> </v>
          </cell>
          <cell r="L60" t="str">
            <v>Hazardous Waste</v>
          </cell>
          <cell r="M60" t="str">
            <v>L</v>
          </cell>
          <cell r="N60">
            <v>0</v>
          </cell>
          <cell r="O60">
            <v>3.59</v>
          </cell>
          <cell r="P60" t="str">
            <v>o</v>
          </cell>
          <cell r="Q60" t="str">
            <v>Qtrly</v>
          </cell>
          <cell r="R60" t="str">
            <v xml:space="preserve"> </v>
          </cell>
          <cell r="S60" t="str">
            <v xml:space="preserve"> </v>
          </cell>
          <cell r="T60" t="str">
            <v xml:space="preserve"> </v>
          </cell>
          <cell r="V60" t="str">
            <v/>
          </cell>
          <cell r="W60" t="str">
            <v/>
          </cell>
          <cell r="Y60" t="str">
            <v>Q</v>
          </cell>
          <cell r="Z60" t="str">
            <v>N</v>
          </cell>
        </row>
        <row r="61">
          <cell r="A61" t="str">
            <v>Carbon Abatement Energy Savings (kWh equivalent)</v>
          </cell>
          <cell r="B61" t="str">
            <v>H</v>
          </cell>
          <cell r="D61">
            <v>30373151</v>
          </cell>
          <cell r="E61" t="str">
            <v>é</v>
          </cell>
          <cell r="F61">
            <v>725149</v>
          </cell>
          <cell r="J61">
            <v>30373151</v>
          </cell>
          <cell r="L61" t="str">
            <v>Carbon Abatement Energy Savings (kWh equivalent)</v>
          </cell>
          <cell r="M61" t="str">
            <v>H</v>
          </cell>
          <cell r="P61" t="str">
            <v>N/A</v>
          </cell>
          <cell r="Q61">
            <v>438838</v>
          </cell>
          <cell r="U61">
            <v>438838</v>
          </cell>
          <cell r="V61" t="str">
            <v>ê</v>
          </cell>
          <cell r="W61" t="str">
            <v/>
          </cell>
        </row>
        <row r="62">
          <cell r="V62">
            <v>15</v>
          </cell>
          <cell r="W62">
            <v>9</v>
          </cell>
        </row>
        <row r="63">
          <cell r="A63" t="str">
            <v>Expected to meet or exceed goal   é    Achievement of goal not yet assured   çè    Not expected to meet goal   ê</v>
          </cell>
          <cell r="L63" t="str">
            <v xml:space="preserve">LEGEND:    Monthly Status:        +  = Better than Plan,        o  = On Plan,        -  = Worse than Plan,      </v>
          </cell>
          <cell r="V63">
            <v>0.55555555555555558</v>
          </cell>
          <cell r="W63">
            <v>0.34615384615384615</v>
          </cell>
          <cell r="Y63">
            <v>44</v>
          </cell>
          <cell r="Z63">
            <v>44</v>
          </cell>
        </row>
      </sheetData>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old"/>
      <sheetName val="Reporting_Period"/>
      <sheetName val="PSE&amp;G"/>
      <sheetName val="Definitions"/>
    </sheetNames>
    <sheetDataSet>
      <sheetData sheetId="0" refreshError="1"/>
      <sheetData sheetId="1" refreshError="1"/>
      <sheetData sheetId="2" refreshError="1">
        <row r="6">
          <cell r="A6" t="str">
            <v>PEOPLE providing</v>
          </cell>
          <cell r="B6" t="str">
            <v>PSE&amp;G</v>
          </cell>
          <cell r="L6" t="str">
            <v>PEOPLE providing</v>
          </cell>
          <cell r="M6" t="str">
            <v>PSE&amp;G</v>
          </cell>
          <cell r="Y6" t="str">
            <v>M</v>
          </cell>
        </row>
        <row r="7">
          <cell r="B7" t="str">
            <v>L/H</v>
          </cell>
          <cell r="C7" t="str">
            <v>Nov 09 YTD</v>
          </cell>
          <cell r="D7" t="str">
            <v>2009 Target</v>
          </cell>
          <cell r="E7" t="str">
            <v>YE Forecast</v>
          </cell>
          <cell r="F7" t="str">
            <v>PSE&amp;G</v>
          </cell>
          <cell r="G7" t="str">
            <v>Cust Ops</v>
          </cell>
          <cell r="H7" t="str">
            <v>Gas</v>
          </cell>
          <cell r="I7" t="str">
            <v>Electric</v>
          </cell>
          <cell r="J7" t="str">
            <v>Other</v>
          </cell>
          <cell r="M7" t="str">
            <v>L/H</v>
          </cell>
          <cell r="N7" t="str">
            <v>Nov 09</v>
          </cell>
          <cell r="O7" t="str">
            <v>2009 Target</v>
          </cell>
          <cell r="P7" t="str">
            <v>Monthly / Quarterly Status</v>
          </cell>
          <cell r="Q7" t="str">
            <v>PSE&amp;G</v>
          </cell>
          <cell r="R7" t="str">
            <v>Cust Ops</v>
          </cell>
          <cell r="S7" t="str">
            <v>Gas</v>
          </cell>
          <cell r="T7" t="str">
            <v>Electric</v>
          </cell>
          <cell r="U7" t="str">
            <v>Other</v>
          </cell>
          <cell r="Y7" t="str">
            <v>M</v>
          </cell>
        </row>
        <row r="8">
          <cell r="A8" t="str">
            <v>OSHA Recordable Incidence Rate</v>
          </cell>
          <cell r="B8" t="str">
            <v>L</v>
          </cell>
          <cell r="C8">
            <v>2.02</v>
          </cell>
          <cell r="D8">
            <v>1.8</v>
          </cell>
          <cell r="E8" t="str">
            <v>é</v>
          </cell>
          <cell r="F8">
            <v>1.75</v>
          </cell>
          <cell r="G8">
            <v>1.21</v>
          </cell>
          <cell r="H8">
            <v>2.2000000000000002</v>
          </cell>
          <cell r="I8">
            <v>1.7716194643412808</v>
          </cell>
          <cell r="L8" t="str">
            <v>OSHA Recordable Incidence Rate</v>
          </cell>
          <cell r="M8" t="str">
            <v>L</v>
          </cell>
          <cell r="N8">
            <v>1.4372491871842543</v>
          </cell>
          <cell r="O8">
            <v>1.8</v>
          </cell>
          <cell r="P8" t="str">
            <v>+</v>
          </cell>
          <cell r="Q8">
            <v>1.33</v>
          </cell>
          <cell r="R8">
            <v>0.79</v>
          </cell>
          <cell r="S8">
            <v>2.2400000000000002</v>
          </cell>
          <cell r="T8">
            <v>0.92271234523374668</v>
          </cell>
          <cell r="V8" t="str">
            <v>é</v>
          </cell>
          <cell r="W8" t="str">
            <v>é</v>
          </cell>
          <cell r="Y8" t="str">
            <v>M</v>
          </cell>
          <cell r="Z8" t="str">
            <v>O</v>
          </cell>
        </row>
        <row r="9">
          <cell r="A9" t="str">
            <v>OSHA Days Away Rate (Severity)</v>
          </cell>
          <cell r="B9" t="str">
            <v>L</v>
          </cell>
          <cell r="C9">
            <v>9.18</v>
          </cell>
          <cell r="D9">
            <v>7.94</v>
          </cell>
          <cell r="E9" t="str">
            <v>ê</v>
          </cell>
          <cell r="F9">
            <v>17.48</v>
          </cell>
          <cell r="G9">
            <v>20.25</v>
          </cell>
          <cell r="H9">
            <v>13.3</v>
          </cell>
          <cell r="I9">
            <v>19.487814107754087</v>
          </cell>
          <cell r="L9" t="str">
            <v>OSHA Days Away Rate (Severity)</v>
          </cell>
          <cell r="M9" t="str">
            <v>L</v>
          </cell>
          <cell r="N9">
            <v>13.67</v>
          </cell>
          <cell r="O9">
            <v>7.94</v>
          </cell>
          <cell r="P9" t="str">
            <v>-</v>
          </cell>
          <cell r="Q9">
            <v>13.67</v>
          </cell>
          <cell r="R9">
            <v>11.84</v>
          </cell>
          <cell r="S9">
            <v>3.36</v>
          </cell>
          <cell r="T9">
            <v>23.529164803460542</v>
          </cell>
          <cell r="V9" t="str">
            <v>ê</v>
          </cell>
          <cell r="W9" t="str">
            <v>ê</v>
          </cell>
          <cell r="Y9" t="str">
            <v>M</v>
          </cell>
          <cell r="Z9" t="str">
            <v>O</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ê</v>
          </cell>
          <cell r="W10" t="str">
            <v>ê</v>
          </cell>
          <cell r="Y10" t="str">
            <v>M</v>
          </cell>
          <cell r="Z10" t="str">
            <v>O</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ê</v>
          </cell>
          <cell r="W11" t="str">
            <v>ê</v>
          </cell>
          <cell r="Y11" t="str">
            <v>M</v>
          </cell>
          <cell r="Z11" t="str">
            <v>O</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Y12" t="str">
            <v>M</v>
          </cell>
          <cell r="Z12" t="str">
            <v>O</v>
          </cell>
        </row>
        <row r="13">
          <cell r="A13" t="str">
            <v>Staffing Levels - Permanent</v>
          </cell>
          <cell r="B13" t="str">
            <v>L</v>
          </cell>
          <cell r="C13">
            <v>6318</v>
          </cell>
          <cell r="D13">
            <v>6271</v>
          </cell>
          <cell r="E13" t="str">
            <v>é</v>
          </cell>
          <cell r="F13">
            <v>6352</v>
          </cell>
          <cell r="G13">
            <v>1511</v>
          </cell>
          <cell r="H13">
            <v>2055</v>
          </cell>
          <cell r="I13">
            <v>2722</v>
          </cell>
          <cell r="J13">
            <v>64</v>
          </cell>
          <cell r="V13" t="str">
            <v>ê</v>
          </cell>
          <cell r="W13" t="str">
            <v>ê</v>
          </cell>
          <cell r="Y13" t="str">
            <v>M</v>
          </cell>
          <cell r="Z13" t="str">
            <v>O</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V14" t="str">
            <v>ê</v>
          </cell>
          <cell r="W14" t="str">
            <v>é</v>
          </cell>
          <cell r="Y14" t="str">
            <v>M</v>
          </cell>
          <cell r="Z14" t="str">
            <v>O</v>
          </cell>
        </row>
        <row r="15">
          <cell r="A15" t="str">
            <v>Succession Planning</v>
          </cell>
          <cell r="B15" t="str">
            <v>H</v>
          </cell>
          <cell r="C15">
            <v>0.64615384615384619</v>
          </cell>
          <cell r="D15">
            <v>0.73799999999999999</v>
          </cell>
          <cell r="E15" t="str">
            <v>é</v>
          </cell>
          <cell r="F15">
            <v>0.73015873015873012</v>
          </cell>
          <cell r="V15" t="str">
            <v>ê</v>
          </cell>
          <cell r="W15" t="str">
            <v>é</v>
          </cell>
          <cell r="Y15" t="str">
            <v>Q</v>
          </cell>
          <cell r="Z15" t="str">
            <v>N</v>
          </cell>
        </row>
        <row r="16">
          <cell r="A16" t="str">
            <v>Corporate Culture for Ethics and Compliance</v>
          </cell>
          <cell r="B16" t="str">
            <v>H</v>
          </cell>
          <cell r="D16">
            <v>0.66</v>
          </cell>
          <cell r="E16" t="str">
            <v>ê</v>
          </cell>
          <cell r="F16">
            <v>0.64</v>
          </cell>
          <cell r="G16">
            <v>0.65</v>
          </cell>
          <cell r="H16">
            <v>0.62</v>
          </cell>
          <cell r="I16">
            <v>0.65</v>
          </cell>
          <cell r="V16" t="str">
            <v>ê</v>
          </cell>
          <cell r="W16" t="str">
            <v/>
          </cell>
          <cell r="Y16" t="str">
            <v>Q</v>
          </cell>
          <cell r="Z16" t="str">
            <v>O</v>
          </cell>
        </row>
        <row r="17">
          <cell r="A17" t="str">
            <v>Employee Technical Training - BU</v>
          </cell>
          <cell r="B17" t="str">
            <v>H</v>
          </cell>
          <cell r="C17">
            <v>0.64300000000000002</v>
          </cell>
          <cell r="D17">
            <v>1</v>
          </cell>
          <cell r="E17" t="str">
            <v>é</v>
          </cell>
          <cell r="F17">
            <v>0.7833939799591938</v>
          </cell>
          <cell r="G17">
            <v>1.02</v>
          </cell>
          <cell r="H17">
            <v>0</v>
          </cell>
          <cell r="I17">
            <v>0.82999940992506049</v>
          </cell>
          <cell r="V17" t="str">
            <v>ê</v>
          </cell>
          <cell r="W17" t="str">
            <v>é</v>
          </cell>
          <cell r="Y17" t="str">
            <v>Q</v>
          </cell>
          <cell r="Z17" t="str">
            <v>O</v>
          </cell>
        </row>
        <row r="18">
          <cell r="A18" t="str">
            <v>Fringe Benefit Rate</v>
          </cell>
          <cell r="B18" t="str">
            <v>L</v>
          </cell>
          <cell r="C18">
            <v>0.30941935511527424</v>
          </cell>
          <cell r="D18">
            <v>0.50449999999999995</v>
          </cell>
          <cell r="E18" t="str">
            <v>é</v>
          </cell>
          <cell r="F18">
            <v>0.48480434542471712</v>
          </cell>
          <cell r="V18" t="str">
            <v>é</v>
          </cell>
          <cell r="W18" t="str">
            <v>ê</v>
          </cell>
          <cell r="Y18" t="str">
            <v>Q</v>
          </cell>
          <cell r="Z18" t="str">
            <v>O</v>
          </cell>
        </row>
        <row r="19">
          <cell r="Y19" t="str">
            <v>M</v>
          </cell>
        </row>
        <row r="20">
          <cell r="A20" t="str">
            <v>SAFE, RELIABLE</v>
          </cell>
          <cell r="B20" t="str">
            <v>PSE&amp;G</v>
          </cell>
          <cell r="L20" t="str">
            <v>SAFE, RELIABLE</v>
          </cell>
          <cell r="M20" t="str">
            <v>PSE&amp;G</v>
          </cell>
          <cell r="Y20" t="str">
            <v>M</v>
          </cell>
        </row>
        <row r="21">
          <cell r="B21" t="str">
            <v>L/H</v>
          </cell>
          <cell r="C21" t="str">
            <v>Nov 09 YTD</v>
          </cell>
          <cell r="D21" t="str">
            <v>2009 Target</v>
          </cell>
          <cell r="E21" t="str">
            <v>YE Forecast</v>
          </cell>
          <cell r="F21" t="str">
            <v>PSE&amp;G</v>
          </cell>
          <cell r="G21" t="str">
            <v>Cust Ops</v>
          </cell>
          <cell r="H21" t="str">
            <v>Gas</v>
          </cell>
          <cell r="I21" t="str">
            <v>Electric</v>
          </cell>
          <cell r="J21" t="str">
            <v>Other</v>
          </cell>
          <cell r="M21" t="str">
            <v>L/H</v>
          </cell>
          <cell r="N21" t="str">
            <v>Nov 09</v>
          </cell>
          <cell r="O21" t="str">
            <v>2009 Target</v>
          </cell>
          <cell r="P21" t="str">
            <v>Monthly / Quarterly Status</v>
          </cell>
          <cell r="Q21" t="str">
            <v>PSE&amp;G</v>
          </cell>
          <cell r="R21" t="str">
            <v>Cust Ops</v>
          </cell>
          <cell r="S21" t="str">
            <v>Gas</v>
          </cell>
          <cell r="T21" t="str">
            <v>Electric</v>
          </cell>
          <cell r="U21" t="str">
            <v>Other</v>
          </cell>
          <cell r="Y21" t="str">
            <v>M</v>
          </cell>
        </row>
        <row r="22">
          <cell r="A22" t="str">
            <v>SAIFI</v>
          </cell>
          <cell r="B22" t="str">
            <v>L</v>
          </cell>
          <cell r="C22">
            <v>0.66</v>
          </cell>
          <cell r="D22">
            <v>0.72</v>
          </cell>
          <cell r="E22" t="str">
            <v>é</v>
          </cell>
          <cell r="F22">
            <v>0.64</v>
          </cell>
          <cell r="I22">
            <v>0.64</v>
          </cell>
          <cell r="L22" t="str">
            <v>SAIFI</v>
          </cell>
          <cell r="M22" t="str">
            <v>L</v>
          </cell>
          <cell r="N22">
            <v>0.04</v>
          </cell>
          <cell r="O22">
            <v>5.0996821272297967E-2</v>
          </cell>
          <cell r="P22" t="str">
            <v>+</v>
          </cell>
          <cell r="Q22">
            <v>0.04</v>
          </cell>
          <cell r="T22">
            <v>0.04</v>
          </cell>
          <cell r="V22" t="str">
            <v>é</v>
          </cell>
          <cell r="W22" t="str">
            <v>é</v>
          </cell>
          <cell r="Y22" t="str">
            <v>M</v>
          </cell>
          <cell r="Z22" t="str">
            <v>O</v>
          </cell>
        </row>
        <row r="23">
          <cell r="A23" t="str">
            <v>MAIFI</v>
          </cell>
          <cell r="B23" t="str">
            <v>L</v>
          </cell>
          <cell r="C23">
            <v>1.24</v>
          </cell>
          <cell r="D23">
            <v>1.25</v>
          </cell>
          <cell r="E23" t="str">
            <v>é</v>
          </cell>
          <cell r="F23">
            <v>1.1399999999999999</v>
          </cell>
          <cell r="I23">
            <v>1.1399999999999999</v>
          </cell>
          <cell r="L23" t="str">
            <v>MAIFI</v>
          </cell>
          <cell r="M23" t="str">
            <v>L</v>
          </cell>
          <cell r="N23">
            <v>0.09</v>
          </cell>
          <cell r="O23">
            <v>0.11391304347826098</v>
          </cell>
          <cell r="P23" t="str">
            <v>+</v>
          </cell>
          <cell r="Q23">
            <v>0.08</v>
          </cell>
          <cell r="T23">
            <v>0.08</v>
          </cell>
          <cell r="V23" t="str">
            <v>é</v>
          </cell>
          <cell r="W23" t="str">
            <v>é</v>
          </cell>
          <cell r="Y23" t="str">
            <v>M</v>
          </cell>
          <cell r="Z23" t="str">
            <v>O</v>
          </cell>
        </row>
        <row r="24">
          <cell r="A24" t="str">
            <v>CAIDI</v>
          </cell>
          <cell r="B24" t="str">
            <v>L</v>
          </cell>
          <cell r="C24">
            <v>65.400000000000006</v>
          </cell>
          <cell r="D24">
            <v>66.5</v>
          </cell>
          <cell r="E24" t="str">
            <v>é</v>
          </cell>
          <cell r="F24">
            <v>64.11</v>
          </cell>
          <cell r="I24">
            <v>64.11</v>
          </cell>
          <cell r="L24" t="str">
            <v>CAIDI</v>
          </cell>
          <cell r="M24" t="str">
            <v>L</v>
          </cell>
          <cell r="N24">
            <v>46.8</v>
          </cell>
          <cell r="O24">
            <v>58.344090663574896</v>
          </cell>
          <cell r="P24" t="str">
            <v>-</v>
          </cell>
          <cell r="Q24">
            <v>70.39</v>
          </cell>
          <cell r="T24">
            <v>70.39</v>
          </cell>
          <cell r="V24" t="str">
            <v>é</v>
          </cell>
          <cell r="W24" t="str">
            <v>é</v>
          </cell>
          <cell r="Y24" t="str">
            <v>M</v>
          </cell>
          <cell r="Z24" t="str">
            <v>O</v>
          </cell>
        </row>
        <row r="25">
          <cell r="A25" t="str">
            <v>CEMI</v>
          </cell>
          <cell r="B25" t="str">
            <v>L</v>
          </cell>
          <cell r="C25">
            <v>0.02</v>
          </cell>
          <cell r="D25">
            <v>2.3E-2</v>
          </cell>
          <cell r="E25" t="str">
            <v>é</v>
          </cell>
          <cell r="F25">
            <v>1.0999999999999999E-2</v>
          </cell>
          <cell r="I25">
            <v>1.0999999999999999E-2</v>
          </cell>
          <cell r="L25" t="str">
            <v>CEMI</v>
          </cell>
          <cell r="M25" t="str">
            <v>L</v>
          </cell>
          <cell r="N25">
            <v>0</v>
          </cell>
          <cell r="O25">
            <v>0</v>
          </cell>
          <cell r="P25" t="str">
            <v>o</v>
          </cell>
          <cell r="Q25">
            <v>0</v>
          </cell>
          <cell r="T25">
            <v>0</v>
          </cell>
          <cell r="V25" t="str">
            <v>é</v>
          </cell>
          <cell r="W25" t="str">
            <v>é</v>
          </cell>
          <cell r="Y25" t="str">
            <v>M</v>
          </cell>
          <cell r="Z25" t="str">
            <v>O</v>
          </cell>
        </row>
        <row r="26">
          <cell r="A26" t="str">
            <v>Gas Leak Reports per Mile</v>
          </cell>
          <cell r="B26" t="str">
            <v>L</v>
          </cell>
          <cell r="C26">
            <v>0.20899999999999999</v>
          </cell>
          <cell r="D26">
            <v>0.222</v>
          </cell>
          <cell r="E26" t="str">
            <v>é</v>
          </cell>
          <cell r="F26">
            <v>0.18906559222724459</v>
          </cell>
          <cell r="H26">
            <v>0.189</v>
          </cell>
          <cell r="L26" t="str">
            <v>Gas Leak Reports per Mile</v>
          </cell>
          <cell r="M26" t="str">
            <v>L</v>
          </cell>
          <cell r="N26">
            <v>1.2E-2</v>
          </cell>
          <cell r="O26">
            <v>1.4017627333333319E-2</v>
          </cell>
          <cell r="P26" t="str">
            <v>+</v>
          </cell>
          <cell r="Q26">
            <v>1.2821957549319916E-2</v>
          </cell>
          <cell r="S26">
            <v>1.2999999999999999E-2</v>
          </cell>
          <cell r="V26" t="str">
            <v>é</v>
          </cell>
          <cell r="W26" t="str">
            <v>é</v>
          </cell>
          <cell r="Y26" t="str">
            <v>M</v>
          </cell>
          <cell r="Z26" t="str">
            <v>O</v>
          </cell>
        </row>
        <row r="27">
          <cell r="A27" t="str">
            <v>Damages per 1,000 Locate Requests</v>
          </cell>
          <cell r="B27" t="str">
            <v>L</v>
          </cell>
          <cell r="C27">
            <v>1.83</v>
          </cell>
          <cell r="D27">
            <v>1.97</v>
          </cell>
          <cell r="E27" t="str">
            <v>é</v>
          </cell>
          <cell r="F27">
            <v>1.52</v>
          </cell>
          <cell r="H27">
            <v>2.2799999999999998</v>
          </cell>
          <cell r="I27">
            <v>0.71</v>
          </cell>
          <cell r="L27" t="str">
            <v>Damages per 1,000 Locate Requests</v>
          </cell>
          <cell r="M27" t="str">
            <v>L</v>
          </cell>
          <cell r="N27">
            <v>1.7</v>
          </cell>
          <cell r="O27">
            <v>1.97</v>
          </cell>
          <cell r="P27" t="str">
            <v>+</v>
          </cell>
          <cell r="Q27">
            <v>1.94</v>
          </cell>
          <cell r="S27">
            <v>2.61</v>
          </cell>
          <cell r="T27">
            <v>1.24</v>
          </cell>
          <cell r="V27" t="str">
            <v>é</v>
          </cell>
          <cell r="W27" t="str">
            <v>é</v>
          </cell>
          <cell r="Y27" t="str">
            <v>M</v>
          </cell>
          <cell r="Z27" t="str">
            <v>O</v>
          </cell>
        </row>
        <row r="28">
          <cell r="A28" t="str">
            <v>Leak Response Rate</v>
          </cell>
          <cell r="B28" t="str">
            <v>H</v>
          </cell>
          <cell r="C28">
            <v>0.999</v>
          </cell>
          <cell r="D28">
            <v>0.99900000000000011</v>
          </cell>
          <cell r="E28" t="str">
            <v>é</v>
          </cell>
          <cell r="F28">
            <v>0.999</v>
          </cell>
          <cell r="H28">
            <v>0.999</v>
          </cell>
          <cell r="L28" t="str">
            <v>Leak Response Rate</v>
          </cell>
          <cell r="M28" t="str">
            <v>H</v>
          </cell>
          <cell r="N28">
            <v>0.99909999999999999</v>
          </cell>
          <cell r="O28">
            <v>0.99900000000000011</v>
          </cell>
          <cell r="P28" t="str">
            <v>-</v>
          </cell>
          <cell r="Q28">
            <v>0.998</v>
          </cell>
          <cell r="S28">
            <v>0.998</v>
          </cell>
          <cell r="V28" t="str">
            <v>é</v>
          </cell>
          <cell r="W28" t="str">
            <v>é</v>
          </cell>
          <cell r="Y28" t="str">
            <v>M</v>
          </cell>
          <cell r="Z28" t="str">
            <v>O</v>
          </cell>
        </row>
        <row r="29">
          <cell r="A29" t="str">
            <v>Fix It Right</v>
          </cell>
          <cell r="B29" t="str">
            <v>H</v>
          </cell>
          <cell r="C29">
            <v>0.86467000000000005</v>
          </cell>
          <cell r="D29" t="str">
            <v>N/A</v>
          </cell>
          <cell r="F29">
            <v>0</v>
          </cell>
          <cell r="H29">
            <v>0.83599999999999997</v>
          </cell>
          <cell r="L29" t="str">
            <v>Fix It Right</v>
          </cell>
          <cell r="M29" t="str">
            <v>H</v>
          </cell>
          <cell r="N29">
            <v>0.83869000000000005</v>
          </cell>
          <cell r="O29" t="str">
            <v>N/A</v>
          </cell>
          <cell r="P29" t="str">
            <v>N/A</v>
          </cell>
          <cell r="Q29">
            <v>0</v>
          </cell>
          <cell r="S29">
            <v>0.84899999999999998</v>
          </cell>
          <cell r="V29" t="str">
            <v/>
          </cell>
          <cell r="W29" t="str">
            <v>ê</v>
          </cell>
          <cell r="Y29" t="str">
            <v>M</v>
          </cell>
          <cell r="Z29" t="str">
            <v>O</v>
          </cell>
        </row>
        <row r="30">
          <cell r="A30" t="str">
            <v>Percent of Actual Meters Read</v>
          </cell>
          <cell r="B30" t="str">
            <v>H</v>
          </cell>
          <cell r="C30">
            <v>0.90100000000000002</v>
          </cell>
          <cell r="D30">
            <v>0.90100000000000002</v>
          </cell>
          <cell r="E30" t="str">
            <v>ê</v>
          </cell>
          <cell r="F30">
            <v>0.88400000000000001</v>
          </cell>
          <cell r="G30">
            <v>0.88400000000000001</v>
          </cell>
          <cell r="L30" t="str">
            <v>Percent of Actual Meters Read</v>
          </cell>
          <cell r="M30" t="str">
            <v>H</v>
          </cell>
          <cell r="N30">
            <v>0.90300000000000002</v>
          </cell>
          <cell r="O30">
            <v>0.90100000000000002</v>
          </cell>
          <cell r="P30" t="str">
            <v>-</v>
          </cell>
          <cell r="Q30">
            <v>0.89500000000000002</v>
          </cell>
          <cell r="R30">
            <v>0.89500000000000002</v>
          </cell>
          <cell r="V30" t="str">
            <v>ê</v>
          </cell>
          <cell r="W30" t="str">
            <v>ê</v>
          </cell>
          <cell r="Y30" t="str">
            <v>M</v>
          </cell>
          <cell r="Z30" t="str">
            <v>O</v>
          </cell>
        </row>
        <row r="31">
          <cell r="A31" t="str">
            <v>Gen'l Inquiry Service Level (30 sec.)</v>
          </cell>
          <cell r="B31" t="str">
            <v>H</v>
          </cell>
          <cell r="C31">
            <v>0.76</v>
          </cell>
          <cell r="D31">
            <v>0.51</v>
          </cell>
          <cell r="E31" t="str">
            <v>é</v>
          </cell>
          <cell r="F31">
            <v>0.61399999999999999</v>
          </cell>
          <cell r="G31">
            <v>0.61399999999999999</v>
          </cell>
          <cell r="L31" t="str">
            <v>Gen'l Inquiry Service Level (30 sec.)</v>
          </cell>
          <cell r="M31" t="str">
            <v>H</v>
          </cell>
          <cell r="N31">
            <v>0.70199999999999996</v>
          </cell>
          <cell r="O31">
            <v>0.51</v>
          </cell>
          <cell r="P31" t="str">
            <v>+</v>
          </cell>
          <cell r="Q31">
            <v>0.69499999999999995</v>
          </cell>
          <cell r="R31">
            <v>0.69499999999999995</v>
          </cell>
          <cell r="V31" t="str">
            <v>é</v>
          </cell>
          <cell r="W31" t="str">
            <v>ê</v>
          </cell>
          <cell r="Y31" t="str">
            <v>M</v>
          </cell>
          <cell r="Z31" t="str">
            <v>O</v>
          </cell>
        </row>
        <row r="32">
          <cell r="A32" t="str">
            <v>First Contact Resolution</v>
          </cell>
          <cell r="B32" t="str">
            <v>H</v>
          </cell>
          <cell r="C32">
            <v>0.871</v>
          </cell>
          <cell r="D32" t="str">
            <v>N/A</v>
          </cell>
          <cell r="F32">
            <v>0</v>
          </cell>
          <cell r="G32">
            <v>0</v>
          </cell>
          <cell r="L32" t="str">
            <v>First Contact Resolution</v>
          </cell>
          <cell r="M32" t="str">
            <v>H</v>
          </cell>
          <cell r="N32">
            <v>0.86</v>
          </cell>
          <cell r="O32" t="str">
            <v>N/A</v>
          </cell>
          <cell r="P32" t="str">
            <v>N/A</v>
          </cell>
          <cell r="Q32">
            <v>0</v>
          </cell>
          <cell r="R32">
            <v>0</v>
          </cell>
          <cell r="V32" t="str">
            <v/>
          </cell>
          <cell r="W32" t="str">
            <v>ê</v>
          </cell>
          <cell r="Y32" t="str">
            <v>M</v>
          </cell>
          <cell r="Z32" t="str">
            <v>O</v>
          </cell>
        </row>
        <row r="33">
          <cell r="A33" t="str">
            <v>BPU Inquiry Rate-Collection</v>
          </cell>
          <cell r="B33" t="str">
            <v>L</v>
          </cell>
          <cell r="C33">
            <v>1.27</v>
          </cell>
          <cell r="D33">
            <v>1.25</v>
          </cell>
          <cell r="E33" t="str">
            <v>ê</v>
          </cell>
          <cell r="F33">
            <v>1.84</v>
          </cell>
          <cell r="G33">
            <v>1.84</v>
          </cell>
          <cell r="L33" t="str">
            <v>BPU Inquiry Rate-Collection</v>
          </cell>
          <cell r="M33" t="str">
            <v>L</v>
          </cell>
          <cell r="N33">
            <v>1.43</v>
          </cell>
          <cell r="O33">
            <v>1.25</v>
          </cell>
          <cell r="P33" t="str">
            <v>+</v>
          </cell>
          <cell r="Q33">
            <v>0.99</v>
          </cell>
          <cell r="R33">
            <v>0.99</v>
          </cell>
          <cell r="V33" t="str">
            <v>ê</v>
          </cell>
          <cell r="W33" t="str">
            <v>ê</v>
          </cell>
          <cell r="Y33" t="str">
            <v>M</v>
          </cell>
          <cell r="Z33" t="str">
            <v>C</v>
          </cell>
        </row>
        <row r="34">
          <cell r="A34" t="str">
            <v>BPU Inquiries - Non-Collection</v>
          </cell>
          <cell r="B34" t="str">
            <v>L</v>
          </cell>
          <cell r="C34">
            <v>1305</v>
          </cell>
          <cell r="D34">
            <v>1500</v>
          </cell>
          <cell r="E34" t="str">
            <v>ê</v>
          </cell>
          <cell r="F34">
            <v>2662</v>
          </cell>
          <cell r="G34">
            <v>2193</v>
          </cell>
          <cell r="H34">
            <v>172</v>
          </cell>
          <cell r="I34">
            <v>145</v>
          </cell>
          <cell r="J34">
            <v>152</v>
          </cell>
          <cell r="L34" t="str">
            <v>BPU Inquiries - Non-Collection</v>
          </cell>
          <cell r="M34" t="str">
            <v>L</v>
          </cell>
          <cell r="N34">
            <v>89</v>
          </cell>
          <cell r="O34">
            <v>121</v>
          </cell>
          <cell r="P34" t="str">
            <v>-</v>
          </cell>
          <cell r="Q34">
            <v>258</v>
          </cell>
          <cell r="R34">
            <v>233</v>
          </cell>
          <cell r="S34">
            <v>3</v>
          </cell>
          <cell r="T34">
            <v>18</v>
          </cell>
          <cell r="U34">
            <v>4</v>
          </cell>
          <cell r="V34" t="str">
            <v>ê</v>
          </cell>
          <cell r="W34" t="str">
            <v>ê</v>
          </cell>
          <cell r="Y34" t="str">
            <v>M</v>
          </cell>
          <cell r="Z34" t="str">
            <v>O</v>
          </cell>
        </row>
        <row r="35">
          <cell r="A35" t="str">
            <v>Perception Survey (Residential)</v>
          </cell>
          <cell r="B35" t="str">
            <v>H</v>
          </cell>
          <cell r="C35">
            <v>75</v>
          </cell>
          <cell r="D35">
            <v>76</v>
          </cell>
          <cell r="E35" t="str">
            <v>ê</v>
          </cell>
          <cell r="F35">
            <v>74</v>
          </cell>
          <cell r="L35" t="str">
            <v>Perception Survey (Residential)</v>
          </cell>
          <cell r="M35" t="str">
            <v>H</v>
          </cell>
          <cell r="N35">
            <v>76</v>
          </cell>
          <cell r="O35">
            <v>76</v>
          </cell>
          <cell r="P35" t="str">
            <v>-</v>
          </cell>
          <cell r="Q35">
            <v>73</v>
          </cell>
          <cell r="V35" t="str">
            <v>ê</v>
          </cell>
          <cell r="W35" t="str">
            <v>ê</v>
          </cell>
          <cell r="Y35" t="str">
            <v>M</v>
          </cell>
          <cell r="Z35" t="str">
            <v>O</v>
          </cell>
        </row>
        <row r="36">
          <cell r="A36" t="str">
            <v>Perception Survey (Small Business)</v>
          </cell>
          <cell r="B36" t="str">
            <v>H</v>
          </cell>
          <cell r="C36">
            <v>76</v>
          </cell>
          <cell r="D36">
            <v>77</v>
          </cell>
          <cell r="E36" t="str">
            <v>ê</v>
          </cell>
          <cell r="F36">
            <v>75</v>
          </cell>
          <cell r="L36" t="str">
            <v>Perception Survey (Small Business)</v>
          </cell>
          <cell r="M36" t="str">
            <v>H</v>
          </cell>
          <cell r="N36">
            <v>74</v>
          </cell>
          <cell r="O36">
            <v>77</v>
          </cell>
          <cell r="P36" t="str">
            <v>-</v>
          </cell>
          <cell r="Q36">
            <v>74</v>
          </cell>
          <cell r="V36" t="str">
            <v>ê</v>
          </cell>
          <cell r="W36" t="str">
            <v>ê</v>
          </cell>
          <cell r="Y36" t="str">
            <v>M</v>
          </cell>
          <cell r="Z36" t="str">
            <v>O</v>
          </cell>
        </row>
        <row r="37">
          <cell r="A37" t="str">
            <v>Perception Survey (Large Business)</v>
          </cell>
          <cell r="B37" t="str">
            <v>H</v>
          </cell>
          <cell r="C37">
            <v>8.9</v>
          </cell>
          <cell r="D37">
            <v>9</v>
          </cell>
          <cell r="E37" t="str">
            <v>ê</v>
          </cell>
          <cell r="F37">
            <v>8.6999999999999993</v>
          </cell>
          <cell r="G37">
            <v>75</v>
          </cell>
          <cell r="H37">
            <v>0</v>
          </cell>
          <cell r="I37">
            <v>0</v>
          </cell>
          <cell r="L37" t="str">
            <v>Perception Survey (Large Business)</v>
          </cell>
          <cell r="M37" t="str">
            <v>H</v>
          </cell>
          <cell r="N37">
            <v>8.9</v>
          </cell>
          <cell r="O37">
            <v>9</v>
          </cell>
          <cell r="P37" t="str">
            <v>-</v>
          </cell>
          <cell r="Q37">
            <v>8.6999999999999993</v>
          </cell>
          <cell r="R37">
            <v>74</v>
          </cell>
          <cell r="S37">
            <v>0</v>
          </cell>
          <cell r="T37">
            <v>0</v>
          </cell>
          <cell r="V37" t="str">
            <v>ê</v>
          </cell>
          <cell r="W37" t="str">
            <v>ê</v>
          </cell>
          <cell r="Y37" t="str">
            <v>Q</v>
          </cell>
          <cell r="Z37" t="str">
            <v>O</v>
          </cell>
        </row>
        <row r="38">
          <cell r="A38" t="str">
            <v>Moment of Truth Survey</v>
          </cell>
          <cell r="B38" t="str">
            <v>H</v>
          </cell>
          <cell r="C38">
            <v>8.5</v>
          </cell>
          <cell r="D38">
            <v>8.6</v>
          </cell>
          <cell r="E38" t="str">
            <v>ê</v>
          </cell>
          <cell r="F38">
            <v>8.4</v>
          </cell>
          <cell r="G38">
            <v>8.1</v>
          </cell>
          <cell r="H38">
            <v>9.1</v>
          </cell>
          <cell r="I38">
            <v>8.76</v>
          </cell>
          <cell r="L38" t="str">
            <v>New Business Construction Survey</v>
          </cell>
          <cell r="M38" t="str">
            <v>H</v>
          </cell>
          <cell r="N38">
            <v>8.5</v>
          </cell>
          <cell r="O38">
            <v>8.6</v>
          </cell>
          <cell r="P38" t="str">
            <v>-</v>
          </cell>
          <cell r="Q38">
            <v>8.4</v>
          </cell>
          <cell r="R38" t="str">
            <v>Quarterly</v>
          </cell>
          <cell r="S38">
            <v>9.1999999999999993</v>
          </cell>
          <cell r="T38">
            <v>8.65</v>
          </cell>
          <cell r="V38" t="str">
            <v>ê</v>
          </cell>
          <cell r="W38" t="str">
            <v>ê</v>
          </cell>
          <cell r="Y38" t="str">
            <v>Q</v>
          </cell>
          <cell r="Z38" t="str">
            <v>O</v>
          </cell>
        </row>
        <row r="39">
          <cell r="Y39" t="str">
            <v>M</v>
          </cell>
        </row>
        <row r="40">
          <cell r="A40" t="str">
            <v>ECONOMIC</v>
          </cell>
          <cell r="B40" t="str">
            <v>PSE&amp;G</v>
          </cell>
          <cell r="L40" t="str">
            <v>ECONOMIC</v>
          </cell>
          <cell r="M40" t="str">
            <v>PSE&amp;G</v>
          </cell>
          <cell r="Y40" t="str">
            <v>M</v>
          </cell>
        </row>
        <row r="41">
          <cell r="B41" t="str">
            <v>L/H</v>
          </cell>
          <cell r="C41" t="str">
            <v>Nov 09 YTD</v>
          </cell>
          <cell r="D41" t="str">
            <v>2009 Target</v>
          </cell>
          <cell r="E41" t="str">
            <v>YE Forecast</v>
          </cell>
          <cell r="F41" t="str">
            <v>PSE&amp;G</v>
          </cell>
          <cell r="G41" t="str">
            <v>Cust Ops</v>
          </cell>
          <cell r="H41" t="str">
            <v>Gas</v>
          </cell>
          <cell r="I41" t="str">
            <v>Electric</v>
          </cell>
          <cell r="J41" t="str">
            <v>Other</v>
          </cell>
          <cell r="M41" t="str">
            <v>L/H</v>
          </cell>
          <cell r="N41" t="str">
            <v>Nov 09</v>
          </cell>
          <cell r="O41" t="str">
            <v>2009 Target</v>
          </cell>
          <cell r="P41" t="str">
            <v>Monthly / Quarterly Status</v>
          </cell>
          <cell r="Q41" t="str">
            <v>PSE&amp;G</v>
          </cell>
          <cell r="R41" t="str">
            <v>Cust Ops</v>
          </cell>
          <cell r="S41" t="str">
            <v>Gas</v>
          </cell>
          <cell r="T41" t="str">
            <v>Electric</v>
          </cell>
          <cell r="U41" t="str">
            <v>Other</v>
          </cell>
          <cell r="Y41" t="str">
            <v>M</v>
          </cell>
        </row>
        <row r="42">
          <cell r="A42" t="str">
            <v>Total CapEx ($M)</v>
          </cell>
          <cell r="B42" t="str">
            <v>L</v>
          </cell>
          <cell r="C42">
            <v>726.39999999999986</v>
          </cell>
          <cell r="D42">
            <v>775.6</v>
          </cell>
          <cell r="E42" t="str">
            <v>ê</v>
          </cell>
          <cell r="F42">
            <v>813.31045500000005</v>
          </cell>
          <cell r="G42">
            <v>37.229999999999997</v>
          </cell>
          <cell r="H42">
            <v>210.72</v>
          </cell>
          <cell r="I42">
            <v>565.36101299999996</v>
          </cell>
          <cell r="J42">
            <v>0</v>
          </cell>
          <cell r="L42" t="str">
            <v>Total CapEx ($M)</v>
          </cell>
          <cell r="M42" t="str">
            <v>L</v>
          </cell>
          <cell r="N42">
            <v>63.3</v>
          </cell>
          <cell r="O42">
            <v>61.8</v>
          </cell>
          <cell r="P42" t="str">
            <v>-</v>
          </cell>
          <cell r="Q42">
            <v>97.597088000000014</v>
          </cell>
          <cell r="R42">
            <v>0.30300000000000005</v>
          </cell>
          <cell r="S42">
            <v>26.545999999999999</v>
          </cell>
          <cell r="T42">
            <v>70.747945999999999</v>
          </cell>
          <cell r="U42">
            <v>0</v>
          </cell>
          <cell r="V42" t="str">
            <v>ê</v>
          </cell>
          <cell r="W42" t="str">
            <v>ê</v>
          </cell>
          <cell r="Y42" t="str">
            <v>M</v>
          </cell>
          <cell r="Z42" t="str">
            <v>O</v>
          </cell>
        </row>
        <row r="43">
          <cell r="A43" t="str">
            <v>Accountability O&amp;M ($M)</v>
          </cell>
          <cell r="B43" t="str">
            <v>L</v>
          </cell>
          <cell r="C43">
            <v>644.5</v>
          </cell>
          <cell r="D43">
            <v>784.5</v>
          </cell>
          <cell r="E43" t="str">
            <v>é</v>
          </cell>
          <cell r="F43">
            <v>693.55122788999984</v>
          </cell>
          <cell r="G43">
            <v>162.80000000000001</v>
          </cell>
          <cell r="H43">
            <v>214.887</v>
          </cell>
          <cell r="I43">
            <v>287.13512888584472</v>
          </cell>
          <cell r="J43">
            <v>28.772066580000004</v>
          </cell>
          <cell r="L43" t="str">
            <v>Accountability O&amp;M ($M)</v>
          </cell>
          <cell r="M43" t="str">
            <v>L</v>
          </cell>
          <cell r="N43">
            <v>52.1</v>
          </cell>
          <cell r="O43">
            <v>65.400000000000006</v>
          </cell>
          <cell r="P43" t="str">
            <v>+</v>
          </cell>
          <cell r="Q43">
            <v>57.086735029999993</v>
          </cell>
          <cell r="R43">
            <v>15.112959</v>
          </cell>
          <cell r="S43">
            <v>16.765999999999998</v>
          </cell>
          <cell r="T43">
            <v>22.648526738759756</v>
          </cell>
          <cell r="U43">
            <v>2.5595132299999994</v>
          </cell>
          <cell r="V43" t="str">
            <v>ê</v>
          </cell>
          <cell r="W43" t="str">
            <v>ê</v>
          </cell>
          <cell r="Y43" t="str">
            <v>M</v>
          </cell>
          <cell r="Z43" t="str">
            <v>O</v>
          </cell>
        </row>
        <row r="44">
          <cell r="A44" t="str">
            <v>Controllable O&amp;M ($M)</v>
          </cell>
          <cell r="B44" t="str">
            <v>L</v>
          </cell>
          <cell r="C44">
            <v>831.30000000000007</v>
          </cell>
          <cell r="D44">
            <v>991.4</v>
          </cell>
          <cell r="E44" t="str">
            <v>é</v>
          </cell>
          <cell r="F44">
            <v>869.61329728999988</v>
          </cell>
          <cell r="L44" t="str">
            <v>Controllable O&amp;M ($M)</v>
          </cell>
          <cell r="M44" t="str">
            <v>L</v>
          </cell>
          <cell r="N44">
            <v>67.2</v>
          </cell>
          <cell r="O44">
            <v>83.100000000000009</v>
          </cell>
          <cell r="P44" t="str">
            <v>+</v>
          </cell>
          <cell r="Q44">
            <v>73.359008329999995</v>
          </cell>
          <cell r="V44" t="str">
            <v>ê</v>
          </cell>
          <cell r="W44" t="str">
            <v>ê</v>
          </cell>
          <cell r="Y44" t="str">
            <v>M</v>
          </cell>
          <cell r="Z44" t="str">
            <v>N</v>
          </cell>
        </row>
        <row r="45">
          <cell r="A45" t="str">
            <v>Net Write-Off ($) /$100 billed</v>
          </cell>
          <cell r="B45" t="str">
            <v>L</v>
          </cell>
          <cell r="C45">
            <v>0.86</v>
          </cell>
          <cell r="D45">
            <v>0.82</v>
          </cell>
          <cell r="E45" t="str">
            <v>ê</v>
          </cell>
          <cell r="F45">
            <v>1.1357327178496943</v>
          </cell>
          <cell r="G45">
            <v>1.1399999999999999</v>
          </cell>
          <cell r="L45" t="str">
            <v>Net Write-Off ($) /$100 billed</v>
          </cell>
          <cell r="M45" t="str">
            <v>L</v>
          </cell>
          <cell r="N45">
            <v>1.22</v>
          </cell>
          <cell r="O45">
            <v>0.82</v>
          </cell>
          <cell r="P45" t="str">
            <v>-</v>
          </cell>
          <cell r="Q45">
            <v>2.7234959560938128</v>
          </cell>
          <cell r="R45">
            <v>2.72</v>
          </cell>
          <cell r="V45" t="str">
            <v>ê</v>
          </cell>
          <cell r="W45" t="str">
            <v>ê</v>
          </cell>
          <cell r="Y45" t="str">
            <v>M</v>
          </cell>
          <cell r="Z45" t="str">
            <v>O</v>
          </cell>
        </row>
        <row r="46">
          <cell r="A46" t="str">
            <v>Days Sales Outstanding</v>
          </cell>
          <cell r="B46" t="str">
            <v>L</v>
          </cell>
          <cell r="C46">
            <v>35.799999999999997</v>
          </cell>
          <cell r="D46">
            <v>34.5</v>
          </cell>
          <cell r="E46" t="str">
            <v>ê</v>
          </cell>
          <cell r="F46">
            <v>36.40450719356631</v>
          </cell>
          <cell r="G46">
            <v>36.4</v>
          </cell>
          <cell r="L46" t="str">
            <v>Days Sales Outstanding</v>
          </cell>
          <cell r="M46" t="str">
            <v>L</v>
          </cell>
          <cell r="N46">
            <v>34.4</v>
          </cell>
          <cell r="O46">
            <v>34.5</v>
          </cell>
          <cell r="P46" t="str">
            <v>-</v>
          </cell>
          <cell r="Q46">
            <v>39.495607245370948</v>
          </cell>
          <cell r="R46">
            <v>39.5</v>
          </cell>
          <cell r="V46" t="str">
            <v>ê</v>
          </cell>
          <cell r="W46" t="str">
            <v>ê</v>
          </cell>
          <cell r="Y46" t="str">
            <v>M</v>
          </cell>
          <cell r="Z46" t="str">
            <v>O</v>
          </cell>
        </row>
        <row r="47">
          <cell r="A47" t="str">
            <v>Current Capital Performance</v>
          </cell>
          <cell r="B47" t="str">
            <v>H</v>
          </cell>
          <cell r="D47">
            <v>1</v>
          </cell>
          <cell r="E47" t="str">
            <v>é</v>
          </cell>
          <cell r="F47">
            <v>1.01</v>
          </cell>
          <cell r="G47">
            <v>0.9</v>
          </cell>
          <cell r="I47">
            <v>1.0474094141460659</v>
          </cell>
          <cell r="V47" t="str">
            <v>é</v>
          </cell>
          <cell r="W47" t="str">
            <v/>
          </cell>
          <cell r="Y47" t="str">
            <v>M</v>
          </cell>
          <cell r="Z47" t="str">
            <v>N</v>
          </cell>
        </row>
        <row r="48">
          <cell r="A48" t="str">
            <v>ROIC</v>
          </cell>
          <cell r="B48" t="str">
            <v>H</v>
          </cell>
          <cell r="C48">
            <v>7.1212209737292975E-2</v>
          </cell>
          <cell r="D48">
            <v>6.2E-2</v>
          </cell>
          <cell r="E48" t="str">
            <v>é</v>
          </cell>
          <cell r="F48">
            <v>5.8474977635110247E-2</v>
          </cell>
          <cell r="V48" t="str">
            <v>ê</v>
          </cell>
          <cell r="W48" t="str">
            <v>ê</v>
          </cell>
          <cell r="Y48" t="str">
            <v>M</v>
          </cell>
          <cell r="Z48" t="str">
            <v>O</v>
          </cell>
        </row>
        <row r="49">
          <cell r="A49" t="str">
            <v>Funds from Operations/Debt</v>
          </cell>
          <cell r="B49" t="str">
            <v>H</v>
          </cell>
          <cell r="C49">
            <v>0.21199999999999999</v>
          </cell>
          <cell r="D49">
            <v>0.19500000000000001</v>
          </cell>
          <cell r="E49" t="str">
            <v>é</v>
          </cell>
          <cell r="F49">
            <v>0.23899999999999999</v>
          </cell>
          <cell r="V49" t="str">
            <v>é</v>
          </cell>
          <cell r="W49" t="str">
            <v>é</v>
          </cell>
          <cell r="Y49" t="str">
            <v>Q</v>
          </cell>
          <cell r="Z49" t="str">
            <v>O</v>
          </cell>
        </row>
        <row r="50">
          <cell r="A50" t="str">
            <v>(Societal) Cost ($) of PSE&amp;G Solar Loan Program</v>
          </cell>
          <cell r="B50" t="str">
            <v>L</v>
          </cell>
          <cell r="D50">
            <v>1939</v>
          </cell>
          <cell r="E50" t="str">
            <v>é</v>
          </cell>
          <cell r="F50">
            <v>1529</v>
          </cell>
          <cell r="J50">
            <v>1529</v>
          </cell>
          <cell r="V50" t="str">
            <v>ê</v>
          </cell>
          <cell r="W50" t="str">
            <v/>
          </cell>
          <cell r="Y50" t="str">
            <v>Q</v>
          </cell>
          <cell r="Z50" t="str">
            <v>N</v>
          </cell>
        </row>
        <row r="51">
          <cell r="A51" t="str">
            <v>EE-Productivity Measure (carbon abatement)</v>
          </cell>
          <cell r="B51" t="str">
            <v>L</v>
          </cell>
          <cell r="D51">
            <v>0.26</v>
          </cell>
          <cell r="E51" t="str">
            <v>ê</v>
          </cell>
          <cell r="F51">
            <v>0.26</v>
          </cell>
          <cell r="J51">
            <v>0</v>
          </cell>
          <cell r="V51" t="str">
            <v>é</v>
          </cell>
          <cell r="W51" t="str">
            <v/>
          </cell>
          <cell r="Y51" t="str">
            <v>Q</v>
          </cell>
          <cell r="Z51" t="str">
            <v>N</v>
          </cell>
        </row>
        <row r="52">
          <cell r="A52" t="str">
            <v>Capital Projects' Results</v>
          </cell>
          <cell r="B52" t="str">
            <v>H</v>
          </cell>
          <cell r="C52">
            <v>0.70299999999999996</v>
          </cell>
          <cell r="D52">
            <v>0.82899999999999996</v>
          </cell>
          <cell r="E52" t="str">
            <v>ê</v>
          </cell>
          <cell r="F52">
            <v>0.65300000000000002</v>
          </cell>
          <cell r="G52">
            <v>0.89600000000000002</v>
          </cell>
          <cell r="H52">
            <v>0.65200000000000002</v>
          </cell>
          <cell r="I52">
            <v>0.45158641670101024</v>
          </cell>
          <cell r="V52" t="str">
            <v>ê</v>
          </cell>
          <cell r="W52" t="str">
            <v>ê</v>
          </cell>
          <cell r="Y52" t="str">
            <v>Q</v>
          </cell>
          <cell r="Z52" t="str">
            <v>N</v>
          </cell>
        </row>
        <row r="53">
          <cell r="Y53" t="str">
            <v>M</v>
          </cell>
        </row>
        <row r="54">
          <cell r="A54" t="str">
            <v>GREEN ENERGY</v>
          </cell>
          <cell r="B54" t="str">
            <v>PSE&amp;G</v>
          </cell>
          <cell r="L54" t="str">
            <v>GREEN ENERGY</v>
          </cell>
          <cell r="M54" t="str">
            <v>PSE&amp;G</v>
          </cell>
          <cell r="Y54" t="str">
            <v>M</v>
          </cell>
        </row>
        <row r="55">
          <cell r="B55" t="str">
            <v>L/H</v>
          </cell>
          <cell r="C55" t="str">
            <v>Nov 09 YTD</v>
          </cell>
          <cell r="D55" t="str">
            <v>2009 Target</v>
          </cell>
          <cell r="E55" t="str">
            <v>YE Forecast</v>
          </cell>
          <cell r="F55" t="str">
            <v>PSE&amp;G</v>
          </cell>
          <cell r="G55" t="str">
            <v>Cust Ops</v>
          </cell>
          <cell r="H55" t="str">
            <v>Gas</v>
          </cell>
          <cell r="I55" t="str">
            <v>Electric</v>
          </cell>
          <cell r="J55" t="str">
            <v>Other</v>
          </cell>
          <cell r="M55" t="str">
            <v>L/H</v>
          </cell>
          <cell r="N55" t="str">
            <v>Nov 09</v>
          </cell>
          <cell r="O55" t="str">
            <v>2009 Target</v>
          </cell>
          <cell r="P55" t="str">
            <v>Monthly / Quarterly Status</v>
          </cell>
          <cell r="Q55" t="str">
            <v>PSE&amp;G</v>
          </cell>
          <cell r="R55" t="str">
            <v>Cust Ops</v>
          </cell>
          <cell r="S55" t="str">
            <v>Gas</v>
          </cell>
          <cell r="T55" t="str">
            <v>Electric</v>
          </cell>
          <cell r="U55" t="str">
            <v>Other</v>
          </cell>
          <cell r="Y55" t="str">
            <v>M</v>
          </cell>
        </row>
        <row r="56">
          <cell r="A56" t="str">
            <v>Fleet MPG</v>
          </cell>
          <cell r="B56" t="str">
            <v>H</v>
          </cell>
          <cell r="C56">
            <v>8.9209439931870556</v>
          </cell>
          <cell r="D56">
            <v>8.9</v>
          </cell>
          <cell r="E56" t="str">
            <v>é</v>
          </cell>
          <cell r="F56">
            <v>8.9570602114278799</v>
          </cell>
          <cell r="L56" t="str">
            <v>Fleet MPG</v>
          </cell>
          <cell r="M56" t="str">
            <v>H</v>
          </cell>
          <cell r="N56">
            <v>9.137474058138265</v>
          </cell>
          <cell r="O56">
            <v>8.9</v>
          </cell>
          <cell r="P56" t="str">
            <v>+</v>
          </cell>
          <cell r="Q56">
            <v>9.017001719908647</v>
          </cell>
          <cell r="V56" t="str">
            <v>é</v>
          </cell>
          <cell r="W56" t="str">
            <v>é</v>
          </cell>
          <cell r="Y56" t="str">
            <v>M</v>
          </cell>
          <cell r="Z56" t="str">
            <v>O</v>
          </cell>
        </row>
        <row r="57">
          <cell r="A57" t="str">
            <v>Renewable Energy Generated (kWh)</v>
          </cell>
          <cell r="B57" t="str">
            <v>H</v>
          </cell>
          <cell r="D57">
            <v>8479000</v>
          </cell>
          <cell r="E57" t="str">
            <v>ê</v>
          </cell>
          <cell r="F57">
            <v>4224148.3118333332</v>
          </cell>
          <cell r="J57">
            <v>4224148.3118333332</v>
          </cell>
          <cell r="L57" t="str">
            <v>Renewable Energy Generated (kWh)</v>
          </cell>
          <cell r="M57" t="str">
            <v>H</v>
          </cell>
          <cell r="O57">
            <v>8479000</v>
          </cell>
          <cell r="P57" t="str">
            <v>o</v>
          </cell>
          <cell r="Q57">
            <v>321999.897</v>
          </cell>
          <cell r="U57">
            <v>321999.897</v>
          </cell>
          <cell r="V57" t="str">
            <v>ê</v>
          </cell>
          <cell r="W57" t="str">
            <v/>
          </cell>
          <cell r="Y57" t="str">
            <v>M</v>
          </cell>
          <cell r="Z57" t="str">
            <v>N</v>
          </cell>
        </row>
        <row r="58">
          <cell r="A58" t="str">
            <v>Non-Hazardous Waste</v>
          </cell>
          <cell r="B58" t="str">
            <v>H</v>
          </cell>
          <cell r="C58">
            <v>0.96889999999999998</v>
          </cell>
          <cell r="D58">
            <v>0.96899999999999997</v>
          </cell>
          <cell r="E58" t="str">
            <v>é</v>
          </cell>
          <cell r="F58">
            <v>0.97883845015190174</v>
          </cell>
          <cell r="G58">
            <v>0.72030000000000005</v>
          </cell>
          <cell r="H58">
            <v>0.99099999999999999</v>
          </cell>
          <cell r="I58">
            <v>0.96672648230640068</v>
          </cell>
          <cell r="L58" t="str">
            <v>Non-Hazardous Waste</v>
          </cell>
          <cell r="M58" t="str">
            <v>H</v>
          </cell>
          <cell r="N58">
            <v>0.97282346900471639</v>
          </cell>
          <cell r="O58">
            <v>0.96899999999999997</v>
          </cell>
          <cell r="P58" t="str">
            <v>-</v>
          </cell>
          <cell r="Q58">
            <v>0.96208330366992356</v>
          </cell>
          <cell r="R58">
            <v>0.62539999999999996</v>
          </cell>
          <cell r="S58">
            <v>0.98699999999999999</v>
          </cell>
          <cell r="T58">
            <v>0.93782407515859079</v>
          </cell>
          <cell r="V58" t="str">
            <v>ê</v>
          </cell>
          <cell r="W58" t="str">
            <v>ê</v>
          </cell>
          <cell r="Y58" t="str">
            <v>M</v>
          </cell>
          <cell r="Z58" t="str">
            <v>N</v>
          </cell>
        </row>
        <row r="59">
          <cell r="A59" t="str">
            <v>Energy Efficiency Energy Savings (kWh equivalent)</v>
          </cell>
          <cell r="B59" t="str">
            <v>H</v>
          </cell>
          <cell r="D59">
            <v>30373151</v>
          </cell>
          <cell r="E59" t="str">
            <v>é</v>
          </cell>
          <cell r="F59">
            <v>53534833.286763452</v>
          </cell>
          <cell r="J59">
            <v>53534833.286763459</v>
          </cell>
          <cell r="L59" t="str">
            <v>Energy Efficiency Energy Savings (kWh equivalent)</v>
          </cell>
          <cell r="M59" t="str">
            <v>H</v>
          </cell>
          <cell r="P59" t="str">
            <v>N/A</v>
          </cell>
          <cell r="Q59">
            <v>23377255.282350838</v>
          </cell>
          <cell r="U59">
            <v>23377255.282350834</v>
          </cell>
          <cell r="V59" t="str">
            <v>é</v>
          </cell>
          <cell r="W59" t="str">
            <v/>
          </cell>
          <cell r="Y59" t="str">
            <v>M</v>
          </cell>
          <cell r="Z59" t="str">
            <v>N</v>
          </cell>
        </row>
        <row r="60">
          <cell r="A60" t="str">
            <v>Net Number of New Solar Meters in UEZs</v>
          </cell>
          <cell r="B60" t="str">
            <v>H</v>
          </cell>
          <cell r="D60">
            <v>6</v>
          </cell>
          <cell r="E60" t="str">
            <v>é</v>
          </cell>
          <cell r="F60">
            <v>4</v>
          </cell>
          <cell r="J60">
            <v>4</v>
          </cell>
          <cell r="L60" t="str">
            <v>Net Number of New Solar Meters in UEZs</v>
          </cell>
          <cell r="M60" t="str">
            <v>H</v>
          </cell>
          <cell r="O60">
            <v>6</v>
          </cell>
          <cell r="P60" t="str">
            <v>o</v>
          </cell>
          <cell r="Q60">
            <v>2</v>
          </cell>
          <cell r="U60">
            <v>2</v>
          </cell>
          <cell r="V60" t="str">
            <v>ê</v>
          </cell>
          <cell r="W60" t="str">
            <v/>
          </cell>
          <cell r="Y60" t="str">
            <v>Q</v>
          </cell>
          <cell r="Z60" t="str">
            <v>N</v>
          </cell>
        </row>
        <row r="61">
          <cell r="A61" t="str">
            <v>Peak Demand Reduction (MW)</v>
          </cell>
          <cell r="B61" t="str">
            <v>H</v>
          </cell>
          <cell r="D61">
            <v>61.8</v>
          </cell>
          <cell r="E61" t="str">
            <v>é</v>
          </cell>
          <cell r="F61">
            <v>61.9</v>
          </cell>
          <cell r="J61">
            <v>61.9</v>
          </cell>
          <cell r="V61" t="str">
            <v>é</v>
          </cell>
          <cell r="W61" t="str">
            <v/>
          </cell>
          <cell r="Y61" t="str">
            <v>Q</v>
          </cell>
          <cell r="Z61" t="str">
            <v>N</v>
          </cell>
        </row>
        <row r="62">
          <cell r="A62" t="str">
            <v>Hazardous Waste</v>
          </cell>
          <cell r="B62" t="str">
            <v>L</v>
          </cell>
          <cell r="C62">
            <v>1.44</v>
          </cell>
          <cell r="D62">
            <v>3.59</v>
          </cell>
          <cell r="E62" t="str">
            <v>é</v>
          </cell>
          <cell r="F62">
            <v>2.16</v>
          </cell>
          <cell r="G62" t="str">
            <v xml:space="preserve"> </v>
          </cell>
          <cell r="H62" t="str">
            <v xml:space="preserve"> </v>
          </cell>
          <cell r="I62" t="str">
            <v xml:space="preserve"> </v>
          </cell>
          <cell r="V62" t="str">
            <v>é</v>
          </cell>
          <cell r="W62" t="str">
            <v>ê</v>
          </cell>
          <cell r="Y62" t="str">
            <v>Q</v>
          </cell>
          <cell r="Z62" t="str">
            <v>N</v>
          </cell>
        </row>
        <row r="63">
          <cell r="V63">
            <v>17</v>
          </cell>
          <cell r="W63">
            <v>13</v>
          </cell>
        </row>
        <row r="64">
          <cell r="A64" t="str">
            <v>On track to meet Target   é    Meeting Target at risk   çè    Not expected to meet Target   ê</v>
          </cell>
          <cell r="J64" t="str">
            <v>iPower</v>
          </cell>
          <cell r="L64" t="str">
            <v xml:space="preserve">LEGEND:    Monthly Status:        +  = Better than Plan,        o  = On Plan,        -  = Worse than Plan,      </v>
          </cell>
          <cell r="U64" t="str">
            <v>iPower</v>
          </cell>
          <cell r="V64">
            <v>0.39534883720930231</v>
          </cell>
          <cell r="W64">
            <v>0.35135135135135137</v>
          </cell>
          <cell r="Y64">
            <v>55</v>
          </cell>
          <cell r="Z64">
            <v>46</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3"/>
      <sheetName val="TC101 &amp; 106 For Operations"/>
      <sheetName val="TC104"/>
      <sheetName val="TC101&amp; 106 FERC"/>
      <sheetName val="101 &amp;106 BY MON"/>
      <sheetName val="101 UPS"/>
      <sheetName val="101 Reconciliation"/>
      <sheetName val="101 BY MON "/>
      <sheetName val="1010040 Details"/>
      <sheetName val="101 Summary back up "/>
      <sheetName val="Unitization File"/>
      <sheetName val="Retirement file"/>
      <sheetName val="current mth adj - AC Doc"/>
      <sheetName val="prior  Adj"/>
      <sheetName val="106UPS"/>
      <sheetName val="106 Reconciliation "/>
      <sheetName val="106 Summary back up"/>
      <sheetName val="106 BY MON"/>
      <sheetName val="TC105"/>
      <sheetName val="105 Entry"/>
      <sheetName val="TC-105-BY MON"/>
      <sheetName val="105-Details "/>
      <sheetName val="TC-121-BY MON"/>
      <sheetName val="TC121"/>
      <sheetName val="Project Check list (2)"/>
      <sheetName val="TC-107-BY MON "/>
      <sheetName val="Net Transfer"/>
      <sheetName val="1070040 Details"/>
      <sheetName val="Adj Details"/>
      <sheetName val="107 inservice by work order"/>
      <sheetName val="107 by Asset Class"/>
      <sheetName val="TC107 -final"/>
      <sheetName val="TC107-Project Check list 2014"/>
      <sheetName val="check if not allocation"/>
      <sheetName val="project list"/>
      <sheetName val="new projects"/>
      <sheetName val="AFUDC Indicator"/>
      <sheetName val="pc"/>
      <sheetName val="sap vs pp"/>
      <sheetName val="Sheet2"/>
      <sheetName val="Sheet4"/>
      <sheetName val="Blanket Inidcator"/>
    </sheetNames>
    <sheetDataSet>
      <sheetData sheetId="0"/>
      <sheetData sheetId="1"/>
      <sheetData sheetId="2" refreshError="1"/>
      <sheetData sheetId="3"/>
      <sheetData sheetId="4"/>
      <sheetData sheetId="5">
        <row r="9">
          <cell r="B9" t="str">
            <v>C3903001</v>
          </cell>
          <cell r="C9" t="str">
            <v>IMPROVEMENTS OTHER THAN PARK PLAZA</v>
          </cell>
          <cell r="Q9">
            <v>0</v>
          </cell>
        </row>
        <row r="10">
          <cell r="B10" t="str">
            <v>C3911001</v>
          </cell>
          <cell r="C10" t="str">
            <v>OFFICE FURNITURE</v>
          </cell>
          <cell r="Q10">
            <v>0</v>
          </cell>
        </row>
        <row r="11">
          <cell r="B11" t="str">
            <v>C3912001</v>
          </cell>
          <cell r="C11" t="str">
            <v>OFFICE EQUIPMENT</v>
          </cell>
          <cell r="Q11">
            <v>0</v>
          </cell>
        </row>
        <row r="12">
          <cell r="B12" t="str">
            <v>C3913001</v>
          </cell>
          <cell r="C12" t="str">
            <v>OFFICE COMPUTER EQUIPMENT</v>
          </cell>
          <cell r="Q12">
            <v>0</v>
          </cell>
        </row>
        <row r="13">
          <cell r="B13" t="str">
            <v>C3921101</v>
          </cell>
          <cell r="C13" t="str">
            <v>TRANSPORT EQUIPMENT</v>
          </cell>
          <cell r="Q13">
            <v>0</v>
          </cell>
        </row>
        <row r="14">
          <cell r="B14" t="str">
            <v>C3922001</v>
          </cell>
          <cell r="C14" t="str">
            <v>TRANSPORT EQUIPMENT</v>
          </cell>
          <cell r="Q14">
            <v>0</v>
          </cell>
        </row>
        <row r="15">
          <cell r="B15" t="str">
            <v>C3930001</v>
          </cell>
          <cell r="C15" t="str">
            <v>STORES EQUIPMENT</v>
          </cell>
          <cell r="Q15">
            <v>0</v>
          </cell>
        </row>
        <row r="16">
          <cell r="B16" t="str">
            <v>C3940001</v>
          </cell>
          <cell r="C16" t="str">
            <v>TOOLS, SHOP AND GAR</v>
          </cell>
          <cell r="Q16">
            <v>0</v>
          </cell>
        </row>
        <row r="17">
          <cell r="B17" t="str">
            <v>C3950001</v>
          </cell>
          <cell r="C17" t="str">
            <v>LABORATORY EQUIPMENT</v>
          </cell>
          <cell r="Q17">
            <v>0</v>
          </cell>
        </row>
        <row r="18">
          <cell r="B18" t="str">
            <v>C3970001</v>
          </cell>
          <cell r="C18" t="str">
            <v>COMMUNICATION EQUIPMENT</v>
          </cell>
          <cell r="Q18">
            <v>0</v>
          </cell>
        </row>
        <row r="19">
          <cell r="B19" t="str">
            <v>C3980001</v>
          </cell>
          <cell r="C19" t="str">
            <v>MISCELLANEOUS EQUIPMENT</v>
          </cell>
          <cell r="Q19">
            <v>0</v>
          </cell>
        </row>
        <row r="20">
          <cell r="C20" t="str">
            <v>Transmission Common</v>
          </cell>
          <cell r="Q20">
            <v>0</v>
          </cell>
        </row>
        <row r="22">
          <cell r="B22" t="str">
            <v>E3030001</v>
          </cell>
          <cell r="C22" t="str">
            <v>Intangibles</v>
          </cell>
          <cell r="K22">
            <v>213829.98</v>
          </cell>
          <cell r="L22">
            <v>-213829.98</v>
          </cell>
          <cell r="Q22">
            <v>0</v>
          </cell>
        </row>
        <row r="24">
          <cell r="B24" t="str">
            <v>E3501001</v>
          </cell>
          <cell r="C24" t="str">
            <v>LAND AND LAND RIGHTS</v>
          </cell>
          <cell r="E24">
            <v>1309556.6299999999</v>
          </cell>
          <cell r="F24">
            <v>238461.20999999996</v>
          </cell>
          <cell r="G24">
            <v>115294.01</v>
          </cell>
          <cell r="H24">
            <v>403900.00500000268</v>
          </cell>
          <cell r="I24">
            <v>964264.75999999791</v>
          </cell>
          <cell r="J24">
            <v>1695615.2800000012</v>
          </cell>
          <cell r="K24">
            <v>-7174877.9299999997</v>
          </cell>
          <cell r="L24">
            <v>1866311.7</v>
          </cell>
          <cell r="M24">
            <v>-37127902.580000006</v>
          </cell>
          <cell r="N24">
            <v>696924.69</v>
          </cell>
          <cell r="O24">
            <v>-93139492.629999995</v>
          </cell>
          <cell r="P24">
            <v>-1930518.7399999998</v>
          </cell>
          <cell r="Q24">
            <v>-132082463.595</v>
          </cell>
        </row>
        <row r="25">
          <cell r="B25" t="str">
            <v>E3502001</v>
          </cell>
          <cell r="C25" t="str">
            <v>LIMITED TERM LAND</v>
          </cell>
          <cell r="P25">
            <v>2306308.4500000002</v>
          </cell>
          <cell r="Q25">
            <v>2306308.4500000002</v>
          </cell>
        </row>
        <row r="26">
          <cell r="B26" t="str">
            <v>E3503001</v>
          </cell>
          <cell r="C26" t="str">
            <v>SIDEWALKS &amp; CURBS</v>
          </cell>
          <cell r="F26">
            <v>0</v>
          </cell>
          <cell r="G26">
            <v>0</v>
          </cell>
          <cell r="H26">
            <v>0</v>
          </cell>
          <cell r="I26">
            <v>0</v>
          </cell>
          <cell r="J26">
            <v>0</v>
          </cell>
          <cell r="K26">
            <v>0</v>
          </cell>
          <cell r="M26">
            <v>0</v>
          </cell>
          <cell r="N26">
            <v>0</v>
          </cell>
          <cell r="O26">
            <v>0</v>
          </cell>
          <cell r="P26">
            <v>0</v>
          </cell>
          <cell r="Q26">
            <v>0</v>
          </cell>
        </row>
        <row r="27">
          <cell r="B27" t="str">
            <v>E3520001</v>
          </cell>
          <cell r="C27" t="str">
            <v>STRUCTURES &amp; IMPROVEMENTS</v>
          </cell>
          <cell r="E27">
            <v>-271430.55</v>
          </cell>
          <cell r="F27">
            <v>5410588.0150000006</v>
          </cell>
          <cell r="G27">
            <v>1113508.8400000001</v>
          </cell>
          <cell r="H27">
            <v>-1193363.5300000052</v>
          </cell>
          <cell r="I27">
            <v>1820553.9300000002</v>
          </cell>
          <cell r="J27">
            <v>1598327.7399999998</v>
          </cell>
          <cell r="K27">
            <v>-27696017.789999995</v>
          </cell>
          <cell r="L27">
            <v>1330624.77</v>
          </cell>
          <cell r="M27">
            <v>-43147327.849999972</v>
          </cell>
          <cell r="N27">
            <v>339807.64999999967</v>
          </cell>
          <cell r="O27">
            <v>11165204.5</v>
          </cell>
          <cell r="P27">
            <v>-84085570.609999999</v>
          </cell>
          <cell r="Q27">
            <v>-133615094.88499996</v>
          </cell>
        </row>
        <row r="28">
          <cell r="B28" t="str">
            <v>E3531001</v>
          </cell>
          <cell r="C28" t="str">
            <v>STATION EQUIPMENT (OTHER THAN YARDS</v>
          </cell>
          <cell r="E28">
            <v>6118644.71</v>
          </cell>
          <cell r="F28">
            <v>12966734.895</v>
          </cell>
          <cell r="G28">
            <v>18986891.519999985</v>
          </cell>
          <cell r="H28">
            <v>1299110.5899999849</v>
          </cell>
          <cell r="I28">
            <v>16517203.73</v>
          </cell>
          <cell r="J28">
            <v>-3334300.8699999992</v>
          </cell>
          <cell r="K28">
            <v>38256992.75</v>
          </cell>
          <cell r="L28">
            <v>-3861077.5</v>
          </cell>
          <cell r="M28">
            <v>47898054.919999994</v>
          </cell>
          <cell r="N28">
            <v>8441083.9100000001</v>
          </cell>
          <cell r="O28">
            <v>-17502303.077405985</v>
          </cell>
          <cell r="P28">
            <v>113331958.52</v>
          </cell>
          <cell r="Q28">
            <v>239118994.09759396</v>
          </cell>
        </row>
        <row r="29">
          <cell r="B29" t="str">
            <v>E3532001</v>
          </cell>
          <cell r="C29" t="str">
            <v>STATION EQUIPMENT (YARDS CREEK)</v>
          </cell>
          <cell r="F29">
            <v>0</v>
          </cell>
          <cell r="G29">
            <v>0</v>
          </cell>
          <cell r="H29">
            <v>0</v>
          </cell>
          <cell r="I29">
            <v>0</v>
          </cell>
          <cell r="J29">
            <v>0</v>
          </cell>
          <cell r="K29">
            <v>0</v>
          </cell>
          <cell r="M29">
            <v>0</v>
          </cell>
          <cell r="N29">
            <v>0</v>
          </cell>
          <cell r="O29">
            <v>0</v>
          </cell>
          <cell r="P29">
            <v>0</v>
          </cell>
          <cell r="Q29">
            <v>0</v>
          </cell>
        </row>
        <row r="30">
          <cell r="B30" t="str">
            <v>E3538001</v>
          </cell>
          <cell r="C30" t="str">
            <v>Spare &amp; Emergency Station Equipment</v>
          </cell>
          <cell r="E30">
            <v>79883.59</v>
          </cell>
          <cell r="F30">
            <v>2355.4699999999998</v>
          </cell>
          <cell r="G30">
            <v>51193.01</v>
          </cell>
          <cell r="H30">
            <v>-291356.03999999998</v>
          </cell>
          <cell r="I30">
            <v>1553853.84</v>
          </cell>
          <cell r="J30">
            <v>1612219.74</v>
          </cell>
          <cell r="K30">
            <v>131173.04999999999</v>
          </cell>
          <cell r="L30">
            <v>54470.46</v>
          </cell>
          <cell r="M30">
            <v>51428.56</v>
          </cell>
          <cell r="N30">
            <v>10541.36</v>
          </cell>
          <cell r="O30">
            <v>3829.9799999995157</v>
          </cell>
          <cell r="P30">
            <v>360.71</v>
          </cell>
          <cell r="Q30">
            <v>3259953.7299999995</v>
          </cell>
        </row>
        <row r="31">
          <cell r="B31" t="str">
            <v>E3540001</v>
          </cell>
          <cell r="C31" t="str">
            <v>TOWERS AND FIXTURES - 138, 230 RO 34</v>
          </cell>
          <cell r="E31">
            <v>8094.13</v>
          </cell>
          <cell r="F31">
            <v>142313.57999999999</v>
          </cell>
          <cell r="G31">
            <v>-4299.41</v>
          </cell>
          <cell r="H31">
            <v>5082947.2250000089</v>
          </cell>
          <cell r="I31">
            <v>1355252.24</v>
          </cell>
          <cell r="J31">
            <v>3031471.6417633398</v>
          </cell>
          <cell r="K31">
            <v>122383.25</v>
          </cell>
          <cell r="L31">
            <v>323042.96999999997</v>
          </cell>
          <cell r="M31">
            <v>-39791681.660000019</v>
          </cell>
          <cell r="N31">
            <v>163506.48000000001</v>
          </cell>
          <cell r="O31">
            <v>301172496.47000003</v>
          </cell>
          <cell r="P31">
            <v>14422449.1</v>
          </cell>
          <cell r="Q31">
            <v>286027976.01676339</v>
          </cell>
        </row>
        <row r="32">
          <cell r="B32" t="str">
            <v>E3541001</v>
          </cell>
          <cell r="C32" t="str">
            <v>TOWERS AND FIXTURES - TOWER FOUNDATION</v>
          </cell>
          <cell r="F32">
            <v>0</v>
          </cell>
          <cell r="G32">
            <v>0</v>
          </cell>
          <cell r="H32">
            <v>0</v>
          </cell>
          <cell r="I32">
            <v>0</v>
          </cell>
          <cell r="J32">
            <v>0</v>
          </cell>
          <cell r="K32">
            <v>0</v>
          </cell>
          <cell r="M32">
            <v>0</v>
          </cell>
          <cell r="N32">
            <v>0</v>
          </cell>
          <cell r="O32">
            <v>0</v>
          </cell>
          <cell r="P32">
            <v>0</v>
          </cell>
          <cell r="Q32">
            <v>0</v>
          </cell>
        </row>
        <row r="33">
          <cell r="B33" t="str">
            <v>E3542001</v>
          </cell>
          <cell r="C33" t="str">
            <v>TOWERS AND FIXTURES - TOWERS</v>
          </cell>
          <cell r="F33">
            <v>0</v>
          </cell>
          <cell r="G33">
            <v>0</v>
          </cell>
          <cell r="H33">
            <v>0</v>
          </cell>
          <cell r="I33">
            <v>0</v>
          </cell>
          <cell r="J33">
            <v>0</v>
          </cell>
          <cell r="K33">
            <v>0</v>
          </cell>
          <cell r="M33">
            <v>0</v>
          </cell>
          <cell r="N33">
            <v>0</v>
          </cell>
          <cell r="O33">
            <v>0</v>
          </cell>
          <cell r="P33">
            <v>0</v>
          </cell>
          <cell r="Q33">
            <v>0</v>
          </cell>
        </row>
        <row r="34">
          <cell r="B34" t="str">
            <v>E3551001</v>
          </cell>
          <cell r="C34" t="str">
            <v>POLES</v>
          </cell>
          <cell r="E34">
            <v>-1712.49</v>
          </cell>
          <cell r="F34">
            <v>123782.4800000001</v>
          </cell>
          <cell r="G34">
            <v>-4778.9300000001676</v>
          </cell>
          <cell r="H34">
            <v>4122.75</v>
          </cell>
          <cell r="I34">
            <v>357.01</v>
          </cell>
          <cell r="J34">
            <v>6906.51</v>
          </cell>
          <cell r="K34">
            <v>0</v>
          </cell>
          <cell r="L34">
            <v>2312.1999999999998</v>
          </cell>
          <cell r="M34">
            <v>63.37</v>
          </cell>
          <cell r="N34">
            <v>0</v>
          </cell>
          <cell r="O34">
            <v>0</v>
          </cell>
          <cell r="P34">
            <v>-8886618.1400000006</v>
          </cell>
          <cell r="Q34">
            <v>-8755565.2400000002</v>
          </cell>
        </row>
        <row r="35">
          <cell r="B35" t="str">
            <v>E3552001</v>
          </cell>
          <cell r="C35" t="str">
            <v>POLE FIXTURES</v>
          </cell>
          <cell r="F35">
            <v>0</v>
          </cell>
          <cell r="G35">
            <v>0</v>
          </cell>
          <cell r="H35">
            <v>0</v>
          </cell>
          <cell r="I35">
            <v>0</v>
          </cell>
          <cell r="J35">
            <v>0</v>
          </cell>
          <cell r="K35">
            <v>0</v>
          </cell>
          <cell r="M35">
            <v>0</v>
          </cell>
          <cell r="N35">
            <v>0</v>
          </cell>
          <cell r="O35">
            <v>0</v>
          </cell>
          <cell r="P35">
            <v>0</v>
          </cell>
          <cell r="Q35">
            <v>0</v>
          </cell>
        </row>
        <row r="36">
          <cell r="B36" t="str">
            <v>E3553001</v>
          </cell>
          <cell r="C36" t="str">
            <v>MASS PROPERTY POLES</v>
          </cell>
          <cell r="E36">
            <v>244047.45423554105</v>
          </cell>
          <cell r="F36">
            <v>103656.58000000002</v>
          </cell>
          <cell r="G36">
            <v>38252.070000002161</v>
          </cell>
          <cell r="H36">
            <v>40956.080000000002</v>
          </cell>
          <cell r="I36">
            <v>354059.8299999999</v>
          </cell>
          <cell r="J36">
            <v>919543.95999999915</v>
          </cell>
          <cell r="K36">
            <v>12780.45</v>
          </cell>
          <cell r="L36">
            <v>2306522.5</v>
          </cell>
          <cell r="M36">
            <v>-31719220.289999999</v>
          </cell>
          <cell r="N36">
            <v>1319850.43</v>
          </cell>
          <cell r="O36">
            <v>125773.3135312032</v>
          </cell>
          <cell r="P36">
            <v>1832055.8147880121</v>
          </cell>
          <cell r="Q36">
            <v>-24421721.807445243</v>
          </cell>
        </row>
        <row r="37">
          <cell r="B37" t="str">
            <v>E3554001</v>
          </cell>
          <cell r="C37" t="str">
            <v>69KV-E3554007-Pole Fixtures-TC10</v>
          </cell>
          <cell r="E37">
            <v>48598.78</v>
          </cell>
          <cell r="F37">
            <v>13008.219999999754</v>
          </cell>
          <cell r="G37">
            <v>-23834.13000000082</v>
          </cell>
          <cell r="H37">
            <v>19453.219999999998</v>
          </cell>
          <cell r="I37">
            <v>73806.569999999992</v>
          </cell>
          <cell r="J37">
            <v>12618.26</v>
          </cell>
          <cell r="K37">
            <v>-0.47000000000000242</v>
          </cell>
          <cell r="L37">
            <v>5717.89</v>
          </cell>
          <cell r="M37">
            <v>-8098.62</v>
          </cell>
          <cell r="N37">
            <v>4948.09</v>
          </cell>
          <cell r="O37">
            <v>153504.94</v>
          </cell>
          <cell r="P37">
            <v>234965.43000000002</v>
          </cell>
          <cell r="Q37">
            <v>534688.179999999</v>
          </cell>
        </row>
        <row r="38">
          <cell r="B38" t="str">
            <v>E3560001</v>
          </cell>
          <cell r="C38" t="str">
            <v>OVERHEAD CONDUCTORS AND DEVICES</v>
          </cell>
          <cell r="E38">
            <v>1772033.3199999966</v>
          </cell>
          <cell r="F38">
            <v>-1471830.6476856153</v>
          </cell>
          <cell r="G38">
            <v>1387629.6699999997</v>
          </cell>
          <cell r="H38">
            <v>7836252.9399999976</v>
          </cell>
          <cell r="I38">
            <v>4241564.7700000107</v>
          </cell>
          <cell r="J38">
            <v>16969246.691763297</v>
          </cell>
          <cell r="K38">
            <v>-22518491.189999968</v>
          </cell>
          <cell r="L38">
            <v>13882851.91</v>
          </cell>
          <cell r="M38">
            <v>84266080.190000027</v>
          </cell>
          <cell r="N38">
            <v>7055462.9299999978</v>
          </cell>
          <cell r="O38">
            <v>-220966431.97000003</v>
          </cell>
          <cell r="P38">
            <v>13152966.700000005</v>
          </cell>
          <cell r="Q38">
            <v>-94392664.685922295</v>
          </cell>
        </row>
        <row r="39">
          <cell r="B39" t="str">
            <v>E3561001</v>
          </cell>
          <cell r="C39" t="str">
            <v>69KV-E3561007-Overhead Conductors &amp; Devices-Tc10</v>
          </cell>
          <cell r="E39">
            <v>852526.43576445989</v>
          </cell>
          <cell r="F39">
            <v>500495.87999999989</v>
          </cell>
          <cell r="G39">
            <v>789192.51999999955</v>
          </cell>
          <cell r="H39">
            <v>324376.7</v>
          </cell>
          <cell r="I39">
            <v>686143.16834342002</v>
          </cell>
          <cell r="J39">
            <v>322905.01</v>
          </cell>
          <cell r="K39">
            <v>-461110.74999999988</v>
          </cell>
          <cell r="L39">
            <v>-312464.41000000003</v>
          </cell>
          <cell r="M39">
            <v>-45926.59</v>
          </cell>
          <cell r="N39">
            <v>272988.15999999997</v>
          </cell>
          <cell r="O39">
            <v>799045.05702540209</v>
          </cell>
          <cell r="P39">
            <v>-3333530.489087434</v>
          </cell>
          <cell r="Q39">
            <v>394640.69204584742</v>
          </cell>
        </row>
        <row r="40">
          <cell r="B40" t="str">
            <v>E3570001</v>
          </cell>
          <cell r="C40" t="str">
            <v>UNDERGROUND CONDUIT</v>
          </cell>
          <cell r="F40">
            <v>0</v>
          </cell>
          <cell r="G40">
            <v>0</v>
          </cell>
          <cell r="H40">
            <v>0</v>
          </cell>
          <cell r="I40">
            <v>0</v>
          </cell>
          <cell r="J40">
            <v>0</v>
          </cell>
          <cell r="K40">
            <v>0</v>
          </cell>
          <cell r="M40">
            <v>240726.77</v>
          </cell>
          <cell r="N40">
            <v>1750.97</v>
          </cell>
          <cell r="O40">
            <v>232.73</v>
          </cell>
          <cell r="P40">
            <v>826.74</v>
          </cell>
          <cell r="Q40">
            <v>243537.21</v>
          </cell>
        </row>
        <row r="41">
          <cell r="B41" t="str">
            <v>E3571001</v>
          </cell>
          <cell r="C41" t="str">
            <v>69KV-E3571007-Underground Conduit-TC10</v>
          </cell>
          <cell r="E41">
            <v>75109.440000000002</v>
          </cell>
          <cell r="F41">
            <v>-3258.15</v>
          </cell>
          <cell r="G41">
            <v>43552.390000000596</v>
          </cell>
          <cell r="H41">
            <v>423.46</v>
          </cell>
          <cell r="I41">
            <v>3322.82</v>
          </cell>
          <cell r="J41">
            <v>22.79</v>
          </cell>
          <cell r="K41">
            <v>16840.780000000002</v>
          </cell>
          <cell r="L41">
            <v>1853.76</v>
          </cell>
          <cell r="M41">
            <v>4.7299999999999995</v>
          </cell>
          <cell r="N41">
            <v>1253.6299999999999</v>
          </cell>
          <cell r="O41">
            <v>355428.22</v>
          </cell>
          <cell r="P41">
            <v>3602.7142994174187</v>
          </cell>
          <cell r="Q41">
            <v>498156.58429941797</v>
          </cell>
        </row>
        <row r="42">
          <cell r="B42" t="str">
            <v>E3580001</v>
          </cell>
          <cell r="C42" t="str">
            <v>UNDERGROUND CONDUCTORS AND DEVICES</v>
          </cell>
          <cell r="E42">
            <v>997760.4700000002</v>
          </cell>
          <cell r="F42">
            <v>494597.79</v>
          </cell>
          <cell r="G42">
            <v>127070.44</v>
          </cell>
          <cell r="H42">
            <v>943578.77</v>
          </cell>
          <cell r="I42">
            <v>126162.26999999955</v>
          </cell>
          <cell r="J42">
            <v>67588.269999999553</v>
          </cell>
          <cell r="K42">
            <v>100323.77</v>
          </cell>
          <cell r="L42">
            <v>2724472.43</v>
          </cell>
          <cell r="M42">
            <v>33684837.280000001</v>
          </cell>
          <cell r="N42">
            <v>294293.38</v>
          </cell>
          <cell r="O42">
            <v>23896598.789999999</v>
          </cell>
          <cell r="P42">
            <v>7296845.9199999999</v>
          </cell>
          <cell r="Q42">
            <v>70754129.579999998</v>
          </cell>
        </row>
        <row r="43">
          <cell r="B43" t="str">
            <v>E3582001</v>
          </cell>
          <cell r="C43" t="str">
            <v>69KV-E3582007-Undrgnd Cond&amp;Devics(Conv)-Tc10</v>
          </cell>
          <cell r="E43">
            <v>36231.32</v>
          </cell>
          <cell r="F43">
            <v>2432027.38</v>
          </cell>
          <cell r="G43">
            <v>-92890.529999999329</v>
          </cell>
          <cell r="H43">
            <v>19081.989999999998</v>
          </cell>
          <cell r="I43">
            <v>1088516.0716565801</v>
          </cell>
          <cell r="J43">
            <v>606208.93000000005</v>
          </cell>
          <cell r="K43">
            <v>2109.5699999999997</v>
          </cell>
          <cell r="L43">
            <v>-1676465.8199999998</v>
          </cell>
          <cell r="M43">
            <v>45144.509999999995</v>
          </cell>
          <cell r="N43">
            <v>38253.69</v>
          </cell>
          <cell r="O43">
            <v>266208.56944338785</v>
          </cell>
          <cell r="P43">
            <v>-2514433.5299999835</v>
          </cell>
          <cell r="Q43">
            <v>249992.151099985</v>
          </cell>
        </row>
        <row r="44">
          <cell r="B44" t="str">
            <v>E3583001</v>
          </cell>
          <cell r="C44" t="str">
            <v>69KV-E3583007-Undrgnd Cond&amp;Dev(Buried)-TC10</v>
          </cell>
          <cell r="E44">
            <v>12.41</v>
          </cell>
          <cell r="F44">
            <v>0</v>
          </cell>
          <cell r="G44">
            <v>0</v>
          </cell>
          <cell r="H44">
            <v>1221.49</v>
          </cell>
          <cell r="I44">
            <v>5.42</v>
          </cell>
          <cell r="J44">
            <v>0</v>
          </cell>
          <cell r="K44">
            <v>0</v>
          </cell>
          <cell r="L44">
            <v>0</v>
          </cell>
          <cell r="M44">
            <v>1663.61</v>
          </cell>
          <cell r="N44">
            <v>0</v>
          </cell>
          <cell r="O44">
            <v>0</v>
          </cell>
          <cell r="P44">
            <v>0</v>
          </cell>
          <cell r="Q44">
            <v>2902.9300000000003</v>
          </cell>
        </row>
        <row r="45">
          <cell r="B45" t="str">
            <v>E3588001</v>
          </cell>
          <cell r="C45" t="str">
            <v>UNDERGROUND CONDUCTORS AND DEVICES</v>
          </cell>
          <cell r="G45">
            <v>0</v>
          </cell>
          <cell r="H45">
            <v>0</v>
          </cell>
          <cell r="I45">
            <v>0</v>
          </cell>
          <cell r="J45">
            <v>0</v>
          </cell>
          <cell r="K45">
            <v>0</v>
          </cell>
          <cell r="M45">
            <v>0</v>
          </cell>
          <cell r="N45">
            <v>0</v>
          </cell>
          <cell r="O45">
            <v>0</v>
          </cell>
          <cell r="P45">
            <v>0</v>
          </cell>
          <cell r="Q45">
            <v>0</v>
          </cell>
        </row>
        <row r="46">
          <cell r="B46" t="str">
            <v>E3590001</v>
          </cell>
          <cell r="C46" t="str">
            <v>ROADS AND TRAILS</v>
          </cell>
          <cell r="H46">
            <v>394166.99</v>
          </cell>
          <cell r="I46">
            <v>0</v>
          </cell>
          <cell r="J46">
            <v>0</v>
          </cell>
          <cell r="K46">
            <v>0</v>
          </cell>
          <cell r="L46">
            <v>0</v>
          </cell>
          <cell r="M46">
            <v>0</v>
          </cell>
          <cell r="N46">
            <v>0</v>
          </cell>
          <cell r="O46">
            <v>0</v>
          </cell>
          <cell r="P46">
            <v>0</v>
          </cell>
          <cell r="Q46">
            <v>394166.99</v>
          </cell>
        </row>
        <row r="47">
          <cell r="C47" t="str">
            <v>Transmission Plant</v>
          </cell>
          <cell r="E47">
            <v>11269355.649999997</v>
          </cell>
          <cell r="F47">
            <v>20952932.702314377</v>
          </cell>
          <cell r="G47">
            <v>22526781.469999991</v>
          </cell>
          <cell r="H47">
            <v>14884872.639999989</v>
          </cell>
          <cell r="I47">
            <v>28785066.430000011</v>
          </cell>
          <cell r="J47">
            <v>23508373.953526638</v>
          </cell>
          <cell r="K47">
            <v>-19207894.509999964</v>
          </cell>
          <cell r="L47">
            <v>16648172.859999999</v>
          </cell>
          <cell r="M47">
            <v>14347846.350000022</v>
          </cell>
          <cell r="N47">
            <v>18640665.369999997</v>
          </cell>
          <cell r="O47">
            <v>6330094.8925940115</v>
          </cell>
          <cell r="P47">
            <v>51831668.590000011</v>
          </cell>
          <cell r="Q47">
            <v>210517936.39843506</v>
          </cell>
        </row>
        <row r="49">
          <cell r="B49" t="str">
            <v>E3891001</v>
          </cell>
          <cell r="C49" t="str">
            <v>LAND AND LAND RIGHTS</v>
          </cell>
          <cell r="J49">
            <v>0</v>
          </cell>
          <cell r="L49">
            <v>0</v>
          </cell>
          <cell r="M49">
            <v>0</v>
          </cell>
          <cell r="N49">
            <v>0</v>
          </cell>
          <cell r="O49">
            <v>0</v>
          </cell>
          <cell r="Q49">
            <v>0</v>
          </cell>
        </row>
        <row r="50">
          <cell r="B50" t="str">
            <v>E3900001</v>
          </cell>
          <cell r="C50" t="str">
            <v>STRUCTURES AND IMPROVEMENTS</v>
          </cell>
          <cell r="J50">
            <v>0</v>
          </cell>
          <cell r="L50">
            <v>0</v>
          </cell>
          <cell r="M50">
            <v>0</v>
          </cell>
          <cell r="N50">
            <v>0</v>
          </cell>
          <cell r="O50">
            <v>0</v>
          </cell>
          <cell r="Q50">
            <v>0</v>
          </cell>
        </row>
        <row r="51">
          <cell r="B51" t="str">
            <v>E3901001</v>
          </cell>
          <cell r="C51" t="str">
            <v>PARK PLAZA IMPROVEMENTS</v>
          </cell>
          <cell r="J51">
            <v>0</v>
          </cell>
          <cell r="L51">
            <v>0</v>
          </cell>
          <cell r="M51">
            <v>0</v>
          </cell>
          <cell r="N51">
            <v>0</v>
          </cell>
          <cell r="O51">
            <v>0</v>
          </cell>
          <cell r="Q51">
            <v>0</v>
          </cell>
        </row>
        <row r="52">
          <cell r="B52" t="str">
            <v>E3911001</v>
          </cell>
          <cell r="C52" t="str">
            <v>FURNITURE EQUIPMENT</v>
          </cell>
          <cell r="E52">
            <v>19703.14</v>
          </cell>
          <cell r="H52">
            <v>4792.75</v>
          </cell>
          <cell r="J52">
            <v>0</v>
          </cell>
          <cell r="L52">
            <v>0</v>
          </cell>
          <cell r="M52">
            <v>0</v>
          </cell>
          <cell r="N52">
            <v>496729.36</v>
          </cell>
          <cell r="O52">
            <v>390428.15999999997</v>
          </cell>
          <cell r="P52">
            <v>128784.61</v>
          </cell>
          <cell r="Q52">
            <v>1040438.0199999999</v>
          </cell>
        </row>
        <row r="53">
          <cell r="B53" t="str">
            <v>E3912001</v>
          </cell>
          <cell r="C53" t="str">
            <v>OFFICE EQUIPMENT</v>
          </cell>
          <cell r="E53">
            <v>12429</v>
          </cell>
          <cell r="F53">
            <v>20944</v>
          </cell>
          <cell r="H53">
            <v>25601</v>
          </cell>
          <cell r="I53">
            <v>2507</v>
          </cell>
          <cell r="J53">
            <v>0</v>
          </cell>
          <cell r="L53">
            <v>253231.82</v>
          </cell>
          <cell r="M53">
            <v>0</v>
          </cell>
          <cell r="N53">
            <v>1652</v>
          </cell>
          <cell r="O53">
            <v>98456.69</v>
          </cell>
          <cell r="P53">
            <v>17931.88</v>
          </cell>
          <cell r="Q53">
            <v>432753.39</v>
          </cell>
        </row>
        <row r="54">
          <cell r="B54" t="str">
            <v>E3913101</v>
          </cell>
          <cell r="C54" t="str">
            <v>COMPUTER EQUIPMENT</v>
          </cell>
          <cell r="H54">
            <v>2068.4899999999998</v>
          </cell>
          <cell r="I54">
            <v>27168</v>
          </cell>
          <cell r="J54">
            <v>0</v>
          </cell>
          <cell r="K54">
            <v>4311</v>
          </cell>
          <cell r="L54">
            <v>991.55</v>
          </cell>
          <cell r="M54">
            <v>12988.390000000014</v>
          </cell>
          <cell r="N54">
            <v>0</v>
          </cell>
          <cell r="O54">
            <v>0</v>
          </cell>
          <cell r="P54">
            <v>49309</v>
          </cell>
          <cell r="Q54">
            <v>96836.430000000022</v>
          </cell>
        </row>
        <row r="55">
          <cell r="B55" t="str">
            <v>E3913301</v>
          </cell>
          <cell r="C55" t="str">
            <v>COMPUTER</v>
          </cell>
          <cell r="F55">
            <v>7480</v>
          </cell>
          <cell r="G55">
            <v>7483</v>
          </cell>
          <cell r="H55">
            <v>17952</v>
          </cell>
          <cell r="I55">
            <v>56.97</v>
          </cell>
          <cell r="J55">
            <v>1607</v>
          </cell>
          <cell r="K55">
            <v>0</v>
          </cell>
          <cell r="L55">
            <v>0</v>
          </cell>
          <cell r="M55">
            <v>0</v>
          </cell>
          <cell r="N55">
            <v>0</v>
          </cell>
          <cell r="O55">
            <v>0</v>
          </cell>
          <cell r="Q55">
            <v>34578.97</v>
          </cell>
        </row>
        <row r="56">
          <cell r="B56" t="str">
            <v>E3921001</v>
          </cell>
          <cell r="C56" t="str">
            <v>TRANSPORTATION EQUIPMENT 13K lb</v>
          </cell>
          <cell r="H56">
            <v>0</v>
          </cell>
          <cell r="I56">
            <v>45.56</v>
          </cell>
          <cell r="J56">
            <v>0</v>
          </cell>
          <cell r="K56">
            <v>0</v>
          </cell>
          <cell r="L56">
            <v>0</v>
          </cell>
          <cell r="M56">
            <v>0</v>
          </cell>
          <cell r="N56">
            <v>-9638</v>
          </cell>
          <cell r="O56">
            <v>628163.5</v>
          </cell>
          <cell r="P56">
            <v>340390.33</v>
          </cell>
          <cell r="Q56">
            <v>958961.39000000013</v>
          </cell>
        </row>
        <row r="57">
          <cell r="B57" t="str">
            <v>E3922001</v>
          </cell>
          <cell r="C57" t="str">
            <v>TRANSPORTATION EQUIPMENT over 13K lb</v>
          </cell>
          <cell r="F57">
            <v>5010.6000000000931</v>
          </cell>
          <cell r="H57">
            <v>0</v>
          </cell>
          <cell r="J57">
            <v>167542.73000000001</v>
          </cell>
          <cell r="K57">
            <v>1522.8999999999942</v>
          </cell>
          <cell r="L57">
            <v>0</v>
          </cell>
          <cell r="M57">
            <v>0</v>
          </cell>
          <cell r="N57">
            <v>1354.57</v>
          </cell>
          <cell r="O57">
            <v>0</v>
          </cell>
          <cell r="P57">
            <v>0</v>
          </cell>
          <cell r="Q57">
            <v>175430.8000000001</v>
          </cell>
        </row>
        <row r="58">
          <cell r="B58" t="str">
            <v>E3923001</v>
          </cell>
          <cell r="C58" t="str">
            <v>HELICOPTERS</v>
          </cell>
          <cell r="H58">
            <v>0</v>
          </cell>
          <cell r="J58">
            <v>0</v>
          </cell>
          <cell r="L58">
            <v>0</v>
          </cell>
          <cell r="M58">
            <v>0</v>
          </cell>
          <cell r="N58">
            <v>0</v>
          </cell>
          <cell r="O58">
            <v>0</v>
          </cell>
          <cell r="Q58">
            <v>0</v>
          </cell>
        </row>
        <row r="59">
          <cell r="B59" t="str">
            <v>E3930001</v>
          </cell>
          <cell r="C59" t="str">
            <v>STORES EQUIPMENT</v>
          </cell>
          <cell r="H59">
            <v>0</v>
          </cell>
          <cell r="J59">
            <v>0</v>
          </cell>
          <cell r="L59">
            <v>158521.06</v>
          </cell>
          <cell r="M59">
            <v>499.59</v>
          </cell>
          <cell r="N59">
            <v>0</v>
          </cell>
          <cell r="O59">
            <v>0</v>
          </cell>
          <cell r="Q59">
            <v>159020.65</v>
          </cell>
        </row>
        <row r="60">
          <cell r="B60" t="str">
            <v>E3940001</v>
          </cell>
          <cell r="C60" t="str">
            <v>TOOLS, SHOP, GARAGE EQUIPMENT</v>
          </cell>
          <cell r="H60">
            <v>184105.96000000002</v>
          </cell>
          <cell r="I60">
            <v>11632.01</v>
          </cell>
          <cell r="J60">
            <v>0</v>
          </cell>
          <cell r="L60">
            <v>0</v>
          </cell>
          <cell r="M60">
            <v>0</v>
          </cell>
          <cell r="N60">
            <v>366980.85000000003</v>
          </cell>
          <cell r="O60">
            <v>-319152</v>
          </cell>
          <cell r="P60">
            <v>356386.56999999995</v>
          </cell>
          <cell r="Q60">
            <v>599953.39</v>
          </cell>
        </row>
        <row r="61">
          <cell r="B61" t="str">
            <v>E3950001</v>
          </cell>
          <cell r="C61" t="str">
            <v>Laboratory Equipment</v>
          </cell>
          <cell r="H61">
            <v>0</v>
          </cell>
          <cell r="J61">
            <v>0</v>
          </cell>
          <cell r="L61">
            <v>0</v>
          </cell>
          <cell r="M61">
            <v>0</v>
          </cell>
          <cell r="N61">
            <v>0</v>
          </cell>
          <cell r="O61">
            <v>0</v>
          </cell>
          <cell r="Q61">
            <v>0</v>
          </cell>
        </row>
        <row r="62">
          <cell r="B62" t="str">
            <v>E3960001</v>
          </cell>
          <cell r="C62" t="str">
            <v>POWER OPERATED EQUIPMENT</v>
          </cell>
          <cell r="F62">
            <v>908288.03</v>
          </cell>
          <cell r="H62">
            <v>0</v>
          </cell>
          <cell r="I62">
            <v>654315.11</v>
          </cell>
          <cell r="J62">
            <v>0</v>
          </cell>
          <cell r="L62">
            <v>0</v>
          </cell>
          <cell r="M62">
            <v>0</v>
          </cell>
          <cell r="N62">
            <v>0</v>
          </cell>
          <cell r="O62">
            <v>0</v>
          </cell>
          <cell r="P62">
            <v>15974.65</v>
          </cell>
          <cell r="Q62">
            <v>1578577.79</v>
          </cell>
        </row>
        <row r="63">
          <cell r="B63" t="str">
            <v>E3970001</v>
          </cell>
          <cell r="C63" t="str">
            <v>COMMUNICATION EQUIPMENT</v>
          </cell>
          <cell r="H63">
            <v>256.53999999999996</v>
          </cell>
          <cell r="J63">
            <v>0</v>
          </cell>
          <cell r="L63">
            <v>0</v>
          </cell>
          <cell r="M63">
            <v>627.00000000000728</v>
          </cell>
          <cell r="N63">
            <v>1824</v>
          </cell>
          <cell r="O63">
            <v>238153.87</v>
          </cell>
          <cell r="P63">
            <v>62478</v>
          </cell>
          <cell r="Q63">
            <v>303339.41000000003</v>
          </cell>
        </row>
        <row r="64">
          <cell r="B64" t="str">
            <v>E3980001</v>
          </cell>
          <cell r="C64" t="str">
            <v>MISCELLANEOUS EQUIPMENT</v>
          </cell>
          <cell r="E64">
            <v>-368.95</v>
          </cell>
          <cell r="J64">
            <v>0</v>
          </cell>
          <cell r="L64">
            <v>0</v>
          </cell>
          <cell r="M64">
            <v>0</v>
          </cell>
          <cell r="N64">
            <v>0</v>
          </cell>
          <cell r="O64">
            <v>0</v>
          </cell>
          <cell r="Q64">
            <v>-368.95</v>
          </cell>
        </row>
        <row r="77">
          <cell r="B77" t="str">
            <v>C3903001</v>
          </cell>
          <cell r="C77" t="str">
            <v>IMPROVEMENTS OTHER T</v>
          </cell>
          <cell r="Q77">
            <v>0</v>
          </cell>
        </row>
        <row r="78">
          <cell r="B78" t="str">
            <v>C3911001</v>
          </cell>
          <cell r="C78" t="str">
            <v>OFFICE FURNITURE</v>
          </cell>
          <cell r="Q78">
            <v>0</v>
          </cell>
        </row>
        <row r="79">
          <cell r="B79" t="str">
            <v>C3912001</v>
          </cell>
          <cell r="C79" t="str">
            <v>OFFICE EQUIPMENT</v>
          </cell>
          <cell r="Q79">
            <v>0</v>
          </cell>
        </row>
        <row r="80">
          <cell r="B80" t="str">
            <v>C3913001</v>
          </cell>
          <cell r="C80" t="str">
            <v>OFFICE COMPUTER EQUIPMENT</v>
          </cell>
          <cell r="Q80">
            <v>0</v>
          </cell>
        </row>
        <row r="81">
          <cell r="B81" t="str">
            <v>C3921101</v>
          </cell>
          <cell r="C81" t="str">
            <v>TRANSPORT EQUIPMENT</v>
          </cell>
          <cell r="Q81">
            <v>0</v>
          </cell>
        </row>
        <row r="82">
          <cell r="B82" t="str">
            <v>C3922001</v>
          </cell>
          <cell r="C82" t="str">
            <v>TRANSPORT EQUIPMENT</v>
          </cell>
          <cell r="Q82">
            <v>0</v>
          </cell>
        </row>
        <row r="83">
          <cell r="B83" t="str">
            <v>C3930001</v>
          </cell>
          <cell r="C83" t="str">
            <v>STORES EQUIPMENT</v>
          </cell>
          <cell r="Q83">
            <v>0</v>
          </cell>
        </row>
        <row r="84">
          <cell r="B84" t="str">
            <v>C3940001</v>
          </cell>
          <cell r="C84" t="str">
            <v>TOOLS, SHOP AND GAR</v>
          </cell>
          <cell r="Q84">
            <v>0</v>
          </cell>
        </row>
        <row r="85">
          <cell r="B85" t="str">
            <v>C3950001</v>
          </cell>
          <cell r="C85" t="str">
            <v>LABORATORY EQUIPMENT</v>
          </cell>
          <cell r="Q85">
            <v>0</v>
          </cell>
        </row>
        <row r="86">
          <cell r="B86" t="str">
            <v>C3970001</v>
          </cell>
          <cell r="C86" t="str">
            <v>COMMUNICATION EQUIPMENT</v>
          </cell>
          <cell r="Q86">
            <v>0</v>
          </cell>
        </row>
        <row r="87">
          <cell r="B87" t="str">
            <v>C3980001</v>
          </cell>
          <cell r="C87" t="str">
            <v>MISCELLANEOUS EQUIPMENT</v>
          </cell>
          <cell r="Q87">
            <v>0</v>
          </cell>
        </row>
        <row r="88">
          <cell r="C88" t="str">
            <v>Transmission Common</v>
          </cell>
          <cell r="E88">
            <v>0</v>
          </cell>
          <cell r="F88">
            <v>0</v>
          </cell>
          <cell r="G88">
            <v>0</v>
          </cell>
          <cell r="H88">
            <v>0</v>
          </cell>
          <cell r="I88">
            <v>0</v>
          </cell>
          <cell r="J88">
            <v>0</v>
          </cell>
          <cell r="K88">
            <v>0</v>
          </cell>
          <cell r="L88">
            <v>0</v>
          </cell>
          <cell r="M88">
            <v>0</v>
          </cell>
          <cell r="N88">
            <v>0</v>
          </cell>
          <cell r="O88">
            <v>0</v>
          </cell>
          <cell r="P88">
            <v>0</v>
          </cell>
          <cell r="Q88">
            <v>0</v>
          </cell>
        </row>
        <row r="90">
          <cell r="B90" t="str">
            <v>E3030001</v>
          </cell>
          <cell r="C90" t="str">
            <v>INTANGIBLES</v>
          </cell>
          <cell r="Q90">
            <v>0</v>
          </cell>
        </row>
        <row r="92">
          <cell r="B92" t="str">
            <v>E3501001</v>
          </cell>
          <cell r="C92" t="str">
            <v>LAND AND LAND RIGHTS</v>
          </cell>
          <cell r="E92">
            <v>0</v>
          </cell>
          <cell r="F92">
            <v>1087920.3</v>
          </cell>
          <cell r="G92">
            <v>0</v>
          </cell>
          <cell r="H92">
            <v>37758252.784999996</v>
          </cell>
          <cell r="I92">
            <v>0</v>
          </cell>
          <cell r="J92">
            <v>0</v>
          </cell>
          <cell r="K92">
            <v>73504303.689999998</v>
          </cell>
          <cell r="L92">
            <v>0</v>
          </cell>
          <cell r="M92">
            <v>104685.84</v>
          </cell>
          <cell r="N92">
            <v>0</v>
          </cell>
          <cell r="P92">
            <v>1998870.4999999998</v>
          </cell>
          <cell r="Q92">
            <v>114454033.11499999</v>
          </cell>
        </row>
        <row r="93">
          <cell r="B93" t="str">
            <v>E3502001</v>
          </cell>
          <cell r="C93" t="str">
            <v>LIMITED TERM LAND</v>
          </cell>
        </row>
        <row r="94">
          <cell r="B94" t="str">
            <v>E3503001</v>
          </cell>
          <cell r="C94" t="str">
            <v>SIDEWALKS &amp; CURBS</v>
          </cell>
          <cell r="F94">
            <v>0</v>
          </cell>
          <cell r="H94">
            <v>0</v>
          </cell>
          <cell r="I94">
            <v>0</v>
          </cell>
          <cell r="J94">
            <v>0</v>
          </cell>
          <cell r="L94">
            <v>0</v>
          </cell>
          <cell r="M94">
            <v>0</v>
          </cell>
          <cell r="O94">
            <v>149825.30000000005</v>
          </cell>
          <cell r="Q94">
            <v>149825.30000000005</v>
          </cell>
        </row>
        <row r="95">
          <cell r="B95" t="str">
            <v>E3520001</v>
          </cell>
          <cell r="C95" t="str">
            <v>STRUCTURES &amp; IMPROVEMENTS</v>
          </cell>
          <cell r="E95">
            <v>0</v>
          </cell>
          <cell r="F95">
            <v>30183458.625</v>
          </cell>
          <cell r="G95">
            <v>7518.4999999999964</v>
          </cell>
          <cell r="H95">
            <v>56705306.260000005</v>
          </cell>
          <cell r="I95">
            <v>85592.18</v>
          </cell>
          <cell r="J95">
            <v>2307067.35</v>
          </cell>
          <cell r="K95">
            <v>0</v>
          </cell>
          <cell r="L95">
            <v>0</v>
          </cell>
          <cell r="M95">
            <v>87303571.74999997</v>
          </cell>
          <cell r="N95">
            <v>1530534.0100000002</v>
          </cell>
          <cell r="O95">
            <v>53859422.319999993</v>
          </cell>
          <cell r="P95">
            <v>270241.69</v>
          </cell>
          <cell r="Q95">
            <v>232252712.68499994</v>
          </cell>
        </row>
        <row r="96">
          <cell r="B96" t="str">
            <v>E3531001</v>
          </cell>
          <cell r="C96" t="str">
            <v>STATION EQUIPMENT (OTHER THAN YARDS</v>
          </cell>
          <cell r="E96">
            <v>29710021.689999998</v>
          </cell>
          <cell r="F96">
            <v>37895033.714999996</v>
          </cell>
          <cell r="G96">
            <v>38985998.939999998</v>
          </cell>
          <cell r="H96">
            <v>191232213.29999998</v>
          </cell>
          <cell r="I96">
            <v>24516381.739999998</v>
          </cell>
          <cell r="J96">
            <v>48420323.309999995</v>
          </cell>
          <cell r="K96">
            <v>22067748.27</v>
          </cell>
          <cell r="L96">
            <v>33683827.480000004</v>
          </cell>
          <cell r="M96">
            <v>2379564.3199999998</v>
          </cell>
          <cell r="N96">
            <v>17382110.52</v>
          </cell>
          <cell r="O96">
            <v>0</v>
          </cell>
          <cell r="P96">
            <v>61919764.269999996</v>
          </cell>
          <cell r="Q96">
            <v>508192987.55499995</v>
          </cell>
        </row>
        <row r="97">
          <cell r="B97" t="str">
            <v>E3532001</v>
          </cell>
          <cell r="C97" t="str">
            <v>STATION EQUIPMENT (YARDS CREEK)</v>
          </cell>
          <cell r="F97">
            <v>0</v>
          </cell>
          <cell r="H97">
            <v>0</v>
          </cell>
          <cell r="I97">
            <v>0</v>
          </cell>
          <cell r="J97">
            <v>0</v>
          </cell>
          <cell r="L97">
            <v>0</v>
          </cell>
          <cell r="M97">
            <v>0</v>
          </cell>
          <cell r="O97">
            <v>4476796.0500000007</v>
          </cell>
          <cell r="Q97">
            <v>4476796.0500000007</v>
          </cell>
        </row>
        <row r="98">
          <cell r="B98" t="str">
            <v>E3538001</v>
          </cell>
          <cell r="C98" t="str">
            <v>Spare &amp; Emergency Station Equipment</v>
          </cell>
          <cell r="E98">
            <v>0</v>
          </cell>
          <cell r="F98">
            <v>0</v>
          </cell>
          <cell r="G98">
            <v>0</v>
          </cell>
          <cell r="H98">
            <v>0</v>
          </cell>
          <cell r="I98">
            <v>0</v>
          </cell>
          <cell r="J98">
            <v>0</v>
          </cell>
          <cell r="K98">
            <v>0</v>
          </cell>
          <cell r="L98">
            <v>0</v>
          </cell>
          <cell r="M98">
            <v>0</v>
          </cell>
          <cell r="N98">
            <v>0</v>
          </cell>
          <cell r="O98">
            <v>0</v>
          </cell>
          <cell r="P98">
            <v>0</v>
          </cell>
          <cell r="Q98">
            <v>0</v>
          </cell>
        </row>
        <row r="99">
          <cell r="B99" t="str">
            <v>E3540001</v>
          </cell>
          <cell r="C99" t="str">
            <v>TOWERS AND FIXTURES - 138, 230 RO 34</v>
          </cell>
          <cell r="E99">
            <v>0</v>
          </cell>
          <cell r="F99">
            <v>0</v>
          </cell>
          <cell r="G99">
            <v>0</v>
          </cell>
          <cell r="H99">
            <v>89862993.754999995</v>
          </cell>
          <cell r="I99">
            <v>0</v>
          </cell>
          <cell r="J99">
            <v>3541326.8182366597</v>
          </cell>
          <cell r="K99">
            <v>0</v>
          </cell>
          <cell r="L99">
            <v>0</v>
          </cell>
          <cell r="M99">
            <v>0</v>
          </cell>
          <cell r="N99">
            <v>0</v>
          </cell>
          <cell r="O99">
            <v>0</v>
          </cell>
          <cell r="P99">
            <v>0</v>
          </cell>
          <cell r="Q99">
            <v>93404320.573236659</v>
          </cell>
        </row>
        <row r="100">
          <cell r="B100" t="str">
            <v>E3541001</v>
          </cell>
          <cell r="C100" t="str">
            <v>TOWERS AND FIXTURES - TOWER FOUNDATION</v>
          </cell>
          <cell r="F100">
            <v>0</v>
          </cell>
          <cell r="H100">
            <v>0</v>
          </cell>
          <cell r="I100">
            <v>0</v>
          </cell>
          <cell r="J100">
            <v>0</v>
          </cell>
          <cell r="L100">
            <v>0</v>
          </cell>
          <cell r="M100">
            <v>0</v>
          </cell>
          <cell r="O100">
            <v>0</v>
          </cell>
          <cell r="Q100">
            <v>0</v>
          </cell>
        </row>
        <row r="101">
          <cell r="B101" t="str">
            <v>E3542001</v>
          </cell>
          <cell r="C101" t="str">
            <v>TOWERS AND FIXTURES - TOWERS</v>
          </cell>
          <cell r="F101">
            <v>0</v>
          </cell>
          <cell r="H101">
            <v>0</v>
          </cell>
          <cell r="I101">
            <v>0</v>
          </cell>
          <cell r="J101">
            <v>0</v>
          </cell>
          <cell r="L101">
            <v>0</v>
          </cell>
          <cell r="M101">
            <v>0</v>
          </cell>
          <cell r="O101">
            <v>0</v>
          </cell>
          <cell r="Q101">
            <v>0</v>
          </cell>
        </row>
        <row r="102">
          <cell r="B102" t="str">
            <v>E3551001</v>
          </cell>
          <cell r="C102" t="str">
            <v>POLES</v>
          </cell>
          <cell r="E102">
            <v>0</v>
          </cell>
          <cell r="F102">
            <v>883771.45</v>
          </cell>
          <cell r="G102">
            <v>3569234.45</v>
          </cell>
          <cell r="H102">
            <v>208190.17</v>
          </cell>
          <cell r="I102">
            <v>0</v>
          </cell>
          <cell r="J102">
            <v>0</v>
          </cell>
          <cell r="K102">
            <v>0</v>
          </cell>
          <cell r="L102">
            <v>0</v>
          </cell>
          <cell r="M102">
            <v>0</v>
          </cell>
          <cell r="N102">
            <v>0</v>
          </cell>
          <cell r="O102">
            <v>0</v>
          </cell>
          <cell r="P102">
            <v>0</v>
          </cell>
          <cell r="Q102">
            <v>4661196.07</v>
          </cell>
        </row>
        <row r="103">
          <cell r="B103" t="str">
            <v>E3552001</v>
          </cell>
          <cell r="C103" t="str">
            <v>POLE FIXTRUES</v>
          </cell>
          <cell r="F103">
            <v>0</v>
          </cell>
          <cell r="H103">
            <v>0</v>
          </cell>
          <cell r="I103">
            <v>0</v>
          </cell>
          <cell r="J103">
            <v>0</v>
          </cell>
          <cell r="L103">
            <v>0</v>
          </cell>
          <cell r="M103">
            <v>0</v>
          </cell>
          <cell r="O103">
            <v>15389808.646468796</v>
          </cell>
          <cell r="Q103">
            <v>15389808.646468796</v>
          </cell>
        </row>
        <row r="104">
          <cell r="B104" t="str">
            <v>E3553001</v>
          </cell>
          <cell r="C104" t="str">
            <v>MASS PROPERTY POLES</v>
          </cell>
          <cell r="E104">
            <v>699115.41576445894</v>
          </cell>
          <cell r="F104">
            <v>116362.09</v>
          </cell>
          <cell r="G104">
            <v>0</v>
          </cell>
          <cell r="H104">
            <v>0</v>
          </cell>
          <cell r="I104">
            <v>1308473.22</v>
          </cell>
          <cell r="J104">
            <v>32771567.289999984</v>
          </cell>
          <cell r="K104">
            <v>0</v>
          </cell>
          <cell r="L104">
            <v>47987489.299999997</v>
          </cell>
          <cell r="M104">
            <v>0</v>
          </cell>
          <cell r="N104">
            <v>0</v>
          </cell>
          <cell r="O104">
            <v>0</v>
          </cell>
          <cell r="P104">
            <v>5807176.9052119879</v>
          </cell>
          <cell r="Q104">
            <v>88690184.220976427</v>
          </cell>
        </row>
        <row r="105">
          <cell r="B105" t="str">
            <v>E3554001</v>
          </cell>
          <cell r="C105" t="str">
            <v>69KV-E3554007-Pole Fixtures-TC10</v>
          </cell>
          <cell r="E105">
            <v>0</v>
          </cell>
          <cell r="F105">
            <v>45698.170000000246</v>
          </cell>
          <cell r="G105">
            <v>0</v>
          </cell>
          <cell r="H105">
            <v>0</v>
          </cell>
          <cell r="I105">
            <v>0</v>
          </cell>
          <cell r="J105">
            <v>0</v>
          </cell>
          <cell r="K105">
            <v>0</v>
          </cell>
          <cell r="L105">
            <v>0</v>
          </cell>
          <cell r="M105">
            <v>0</v>
          </cell>
          <cell r="N105">
            <v>0</v>
          </cell>
          <cell r="O105">
            <v>17638962.98</v>
          </cell>
          <cell r="P105">
            <v>0</v>
          </cell>
          <cell r="Q105">
            <v>17684661.150000002</v>
          </cell>
        </row>
        <row r="106">
          <cell r="B106" t="str">
            <v>E3560001</v>
          </cell>
          <cell r="C106" t="str">
            <v>OVERHEAD CONDUCTORS AND DEVICES</v>
          </cell>
          <cell r="E106">
            <v>20191403.170000002</v>
          </cell>
          <cell r="F106">
            <v>7226580.8676856151</v>
          </cell>
          <cell r="G106">
            <v>3182547.4899999998</v>
          </cell>
          <cell r="H106">
            <v>141488819.90000001</v>
          </cell>
          <cell r="I106">
            <v>91766272.349999994</v>
          </cell>
          <cell r="J106">
            <v>65208145.718236655</v>
          </cell>
          <cell r="K106">
            <v>149325317.21999997</v>
          </cell>
          <cell r="L106">
            <v>1881193.06</v>
          </cell>
          <cell r="M106">
            <v>840507.09000000078</v>
          </cell>
          <cell r="N106">
            <v>31751566.920000002</v>
          </cell>
          <cell r="O106">
            <v>10545366.362974597</v>
          </cell>
          <cell r="P106">
            <v>15539744.669999996</v>
          </cell>
          <cell r="Q106">
            <v>538947464.81889677</v>
          </cell>
        </row>
        <row r="107">
          <cell r="B107" t="str">
            <v>E3561001</v>
          </cell>
          <cell r="C107" t="str">
            <v>69KV-E3561007-Overhead Conductors &amp; Devices-Tc10</v>
          </cell>
          <cell r="E107">
            <v>1540134.8842355399</v>
          </cell>
          <cell r="F107">
            <v>1959149.13</v>
          </cell>
          <cell r="G107">
            <v>0</v>
          </cell>
          <cell r="H107">
            <v>0</v>
          </cell>
          <cell r="I107">
            <v>1917358.8516565801</v>
          </cell>
          <cell r="J107">
            <v>0</v>
          </cell>
          <cell r="K107">
            <v>0</v>
          </cell>
          <cell r="L107">
            <v>0</v>
          </cell>
          <cell r="M107">
            <v>0</v>
          </cell>
          <cell r="N107">
            <v>199386.18000000002</v>
          </cell>
          <cell r="O107">
            <v>0</v>
          </cell>
          <cell r="P107">
            <v>34861910.409087434</v>
          </cell>
          <cell r="Q107">
            <v>40477939.454979554</v>
          </cell>
        </row>
        <row r="108">
          <cell r="B108" t="str">
            <v>E3570001</v>
          </cell>
          <cell r="C108" t="str">
            <v>UNDERGROUND CONDUIT</v>
          </cell>
          <cell r="F108">
            <v>0</v>
          </cell>
          <cell r="H108">
            <v>0</v>
          </cell>
          <cell r="I108">
            <v>0</v>
          </cell>
          <cell r="J108">
            <v>0</v>
          </cell>
          <cell r="L108">
            <v>0</v>
          </cell>
          <cell r="M108">
            <v>0</v>
          </cell>
          <cell r="O108">
            <v>0</v>
          </cell>
          <cell r="Q108">
            <v>0</v>
          </cell>
        </row>
        <row r="109">
          <cell r="B109" t="str">
            <v>E3571001</v>
          </cell>
          <cell r="C109" t="str">
            <v>69KV-E3571007-Underground Conduit-TC10</v>
          </cell>
          <cell r="E109">
            <v>0</v>
          </cell>
          <cell r="F109">
            <v>0</v>
          </cell>
          <cell r="G109">
            <v>0</v>
          </cell>
          <cell r="H109">
            <v>0</v>
          </cell>
          <cell r="I109">
            <v>0</v>
          </cell>
          <cell r="J109">
            <v>0</v>
          </cell>
          <cell r="K109">
            <v>0</v>
          </cell>
          <cell r="L109">
            <v>0</v>
          </cell>
          <cell r="M109">
            <v>0</v>
          </cell>
          <cell r="N109">
            <v>0</v>
          </cell>
          <cell r="O109">
            <v>0</v>
          </cell>
          <cell r="P109">
            <v>239938.04570058259</v>
          </cell>
          <cell r="Q109">
            <v>239938.04570058259</v>
          </cell>
        </row>
        <row r="110">
          <cell r="B110" t="str">
            <v>E3580001</v>
          </cell>
          <cell r="C110" t="str">
            <v>UNDERGROUND CONDUCTORS AND DEVICES</v>
          </cell>
          <cell r="E110">
            <v>4087055.86</v>
          </cell>
          <cell r="F110">
            <v>0</v>
          </cell>
          <cell r="G110">
            <v>0</v>
          </cell>
          <cell r="H110">
            <v>0</v>
          </cell>
          <cell r="I110">
            <v>0</v>
          </cell>
          <cell r="J110">
            <v>905252.51</v>
          </cell>
          <cell r="K110">
            <v>0</v>
          </cell>
          <cell r="L110">
            <v>0</v>
          </cell>
          <cell r="M110">
            <v>0</v>
          </cell>
          <cell r="N110">
            <v>0</v>
          </cell>
          <cell r="O110">
            <v>1031864.9605566121</v>
          </cell>
          <cell r="P110">
            <v>0</v>
          </cell>
          <cell r="Q110">
            <v>6024173.3305566125</v>
          </cell>
        </row>
        <row r="111">
          <cell r="B111" t="str">
            <v>E3582001</v>
          </cell>
          <cell r="C111" t="str">
            <v>69KV-E3582007-Undrgnd Cond&amp;Devics(Conv)-Tc10</v>
          </cell>
          <cell r="E111">
            <v>0</v>
          </cell>
          <cell r="F111">
            <v>0</v>
          </cell>
          <cell r="G111">
            <v>2649551.1</v>
          </cell>
          <cell r="H111">
            <v>0</v>
          </cell>
          <cell r="I111">
            <v>9911313.0583434198</v>
          </cell>
          <cell r="J111">
            <v>0</v>
          </cell>
          <cell r="K111">
            <v>0</v>
          </cell>
          <cell r="L111">
            <v>0</v>
          </cell>
          <cell r="M111">
            <v>0</v>
          </cell>
          <cell r="N111">
            <v>0</v>
          </cell>
          <cell r="O111">
            <v>0</v>
          </cell>
          <cell r="P111">
            <v>61297662.429999985</v>
          </cell>
          <cell r="Q111">
            <v>73858526.588343412</v>
          </cell>
        </row>
        <row r="112">
          <cell r="B112" t="str">
            <v>E3583001</v>
          </cell>
          <cell r="C112" t="str">
            <v>69KV-E3583007-Undrgnd Cond&amp;Dev(Buried)-TC10</v>
          </cell>
          <cell r="E112">
            <v>0</v>
          </cell>
          <cell r="F112">
            <v>0</v>
          </cell>
          <cell r="G112">
            <v>0</v>
          </cell>
          <cell r="H112">
            <v>0</v>
          </cell>
          <cell r="I112">
            <v>0</v>
          </cell>
          <cell r="J112">
            <v>0</v>
          </cell>
          <cell r="K112">
            <v>0</v>
          </cell>
          <cell r="L112">
            <v>0</v>
          </cell>
          <cell r="M112">
            <v>0</v>
          </cell>
          <cell r="N112">
            <v>0</v>
          </cell>
          <cell r="O112">
            <v>0</v>
          </cell>
          <cell r="P112">
            <v>0</v>
          </cell>
          <cell r="Q112">
            <v>0</v>
          </cell>
        </row>
        <row r="113">
          <cell r="B113" t="str">
            <v>E3588001</v>
          </cell>
          <cell r="C113" t="str">
            <v>UNDERGROUND CONDUCTORS AND DEVICES</v>
          </cell>
          <cell r="H113">
            <v>0</v>
          </cell>
          <cell r="I113">
            <v>0</v>
          </cell>
          <cell r="J113">
            <v>0</v>
          </cell>
          <cell r="L113">
            <v>0</v>
          </cell>
          <cell r="M113">
            <v>0</v>
          </cell>
          <cell r="Q113">
            <v>0</v>
          </cell>
        </row>
        <row r="114">
          <cell r="B114" t="str">
            <v>E3590001</v>
          </cell>
          <cell r="C114" t="str">
            <v>ROADS AND TRAILS</v>
          </cell>
          <cell r="H114">
            <v>0</v>
          </cell>
          <cell r="I114">
            <v>0</v>
          </cell>
          <cell r="J114">
            <v>0</v>
          </cell>
          <cell r="L114">
            <v>0</v>
          </cell>
          <cell r="M114">
            <v>0</v>
          </cell>
          <cell r="Q114">
            <v>0</v>
          </cell>
        </row>
        <row r="115">
          <cell r="C115" t="str">
            <v>Transmission Plant</v>
          </cell>
          <cell r="E115">
            <v>56227731.019999996</v>
          </cell>
          <cell r="F115">
            <v>79397974.34768562</v>
          </cell>
          <cell r="G115">
            <v>48394850.480000004</v>
          </cell>
          <cell r="H115">
            <v>517255776.16999996</v>
          </cell>
          <cell r="I115">
            <v>129505391.40000001</v>
          </cell>
          <cell r="J115">
            <v>153153682.99647328</v>
          </cell>
          <cell r="K115">
            <v>244897369.17999995</v>
          </cell>
          <cell r="L115">
            <v>83552509.840000004</v>
          </cell>
          <cell r="M115">
            <v>90628328.99999997</v>
          </cell>
          <cell r="N115">
            <v>50863597.630000003</v>
          </cell>
          <cell r="O115">
            <v>103092046.61999999</v>
          </cell>
          <cell r="P115">
            <v>181935308.91999999</v>
          </cell>
          <cell r="Q115">
            <v>1738904567.6041589</v>
          </cell>
        </row>
        <row r="117">
          <cell r="B117" t="str">
            <v>E3891001</v>
          </cell>
          <cell r="C117" t="str">
            <v>LAND AND LAND RIGHTS</v>
          </cell>
          <cell r="Q117">
            <v>0</v>
          </cell>
        </row>
        <row r="118">
          <cell r="B118" t="str">
            <v>E3900001</v>
          </cell>
          <cell r="C118" t="str">
            <v>STRUCTURES AND IMPROVEMENTS</v>
          </cell>
          <cell r="Q118">
            <v>0</v>
          </cell>
        </row>
        <row r="119">
          <cell r="B119" t="str">
            <v>E3901001</v>
          </cell>
          <cell r="C119" t="str">
            <v>PARK PLAZA IMPROVEMENTS</v>
          </cell>
          <cell r="Q119">
            <v>0</v>
          </cell>
        </row>
        <row r="120">
          <cell r="B120" t="str">
            <v>E3911001</v>
          </cell>
          <cell r="C120" t="str">
            <v>FURNITURE EQUIPMENT</v>
          </cell>
          <cell r="Q120">
            <v>0</v>
          </cell>
        </row>
        <row r="121">
          <cell r="B121" t="str">
            <v>E3912001</v>
          </cell>
          <cell r="C121" t="str">
            <v>OFFICE EQUIPMENT</v>
          </cell>
          <cell r="Q121">
            <v>0</v>
          </cell>
        </row>
        <row r="122">
          <cell r="B122" t="str">
            <v>E3913101</v>
          </cell>
          <cell r="C122" t="str">
            <v>COMPUTER EQUIPMENT</v>
          </cell>
          <cell r="Q122">
            <v>0</v>
          </cell>
        </row>
        <row r="123">
          <cell r="B123" t="str">
            <v>E3913301</v>
          </cell>
          <cell r="C123" t="str">
            <v>COMPUTER</v>
          </cell>
          <cell r="Q123">
            <v>0</v>
          </cell>
        </row>
        <row r="124">
          <cell r="B124" t="str">
            <v>E3921001</v>
          </cell>
          <cell r="C124" t="str">
            <v>TRANSPORTATION EQUIPMENT 13K lb</v>
          </cell>
          <cell r="Q124">
            <v>0</v>
          </cell>
        </row>
        <row r="125">
          <cell r="B125" t="str">
            <v>E3922001</v>
          </cell>
          <cell r="C125" t="str">
            <v>TRANSPORTATION EQUIPMENT over 13K lb</v>
          </cell>
          <cell r="Q125">
            <v>0</v>
          </cell>
        </row>
        <row r="126">
          <cell r="B126" t="str">
            <v>E3923001</v>
          </cell>
          <cell r="C126" t="str">
            <v>HELICOPTERS</v>
          </cell>
          <cell r="Q126">
            <v>0</v>
          </cell>
        </row>
        <row r="127">
          <cell r="B127" t="str">
            <v>E3930001</v>
          </cell>
          <cell r="C127" t="str">
            <v>STORES EQUIPMENT</v>
          </cell>
          <cell r="Q127">
            <v>0</v>
          </cell>
        </row>
        <row r="128">
          <cell r="B128" t="str">
            <v>E3940001</v>
          </cell>
          <cell r="C128" t="str">
            <v>TOOLS, SHOP, GARAGE EQUIPMENT</v>
          </cell>
          <cell r="Q128">
            <v>0</v>
          </cell>
        </row>
        <row r="129">
          <cell r="B129" t="str">
            <v>E3950001</v>
          </cell>
          <cell r="C129" t="str">
            <v>LABORATORY EQUIPMENT</v>
          </cell>
          <cell r="Q129">
            <v>0</v>
          </cell>
        </row>
        <row r="130">
          <cell r="B130" t="str">
            <v>E3960001</v>
          </cell>
          <cell r="C130" t="str">
            <v>POWER OPERATED EQUIPMENT</v>
          </cell>
          <cell r="Q130">
            <v>0</v>
          </cell>
        </row>
        <row r="131">
          <cell r="B131" t="str">
            <v>E3970001</v>
          </cell>
          <cell r="C131" t="str">
            <v>COMMUNICATION EQUIPMENT</v>
          </cell>
          <cell r="Q131">
            <v>0</v>
          </cell>
        </row>
        <row r="132">
          <cell r="B132" t="str">
            <v>E3980001</v>
          </cell>
          <cell r="C132" t="str">
            <v>MISCELLANEOUS EQUIPMENT</v>
          </cell>
          <cell r="M132">
            <v>44900.039999999994</v>
          </cell>
          <cell r="Q132">
            <v>44900.039999999994</v>
          </cell>
        </row>
        <row r="145">
          <cell r="B145" t="str">
            <v>C3903001</v>
          </cell>
          <cell r="C145" t="str">
            <v>IMPROVEMENTS OTHER T</v>
          </cell>
          <cell r="Q145">
            <v>0</v>
          </cell>
        </row>
        <row r="146">
          <cell r="B146" t="str">
            <v>C3911001</v>
          </cell>
          <cell r="C146" t="str">
            <v>OFFICE FURNITURE</v>
          </cell>
          <cell r="Q146">
            <v>0</v>
          </cell>
        </row>
        <row r="147">
          <cell r="B147" t="str">
            <v>C3912001</v>
          </cell>
          <cell r="C147" t="str">
            <v>OFFICE EQUIPMENT</v>
          </cell>
          <cell r="Q147">
            <v>0</v>
          </cell>
        </row>
        <row r="148">
          <cell r="B148" t="str">
            <v>C3913001</v>
          </cell>
          <cell r="C148" t="str">
            <v>OFFICE COMPUTER EQUIPMENT</v>
          </cell>
          <cell r="Q148">
            <v>0</v>
          </cell>
        </row>
        <row r="149">
          <cell r="B149" t="str">
            <v>C3921101</v>
          </cell>
          <cell r="C149" t="str">
            <v>TRANSPORT EQUIPMENT</v>
          </cell>
          <cell r="Q149">
            <v>0</v>
          </cell>
        </row>
        <row r="150">
          <cell r="B150" t="str">
            <v>C3922001</v>
          </cell>
          <cell r="C150" t="str">
            <v>TRANSPORT EQUIPMENT</v>
          </cell>
          <cell r="Q150">
            <v>0</v>
          </cell>
        </row>
        <row r="151">
          <cell r="B151" t="str">
            <v>C3930001</v>
          </cell>
          <cell r="C151" t="str">
            <v>STORES EQUIPMENT</v>
          </cell>
          <cell r="Q151">
            <v>0</v>
          </cell>
        </row>
        <row r="152">
          <cell r="B152" t="str">
            <v>C3940001</v>
          </cell>
          <cell r="C152" t="str">
            <v>TOOLS, SHOP AND GAR</v>
          </cell>
          <cell r="Q152">
            <v>0</v>
          </cell>
        </row>
        <row r="153">
          <cell r="B153" t="str">
            <v>C3950001</v>
          </cell>
          <cell r="C153" t="str">
            <v>LABORATORY EQUIPMENT</v>
          </cell>
          <cell r="Q153">
            <v>0</v>
          </cell>
        </row>
        <row r="154">
          <cell r="B154" t="str">
            <v>C3970001</v>
          </cell>
          <cell r="C154" t="str">
            <v>COMMUNICATION EQUIPMENT</v>
          </cell>
          <cell r="Q154">
            <v>0</v>
          </cell>
        </row>
        <row r="155">
          <cell r="B155" t="str">
            <v>C3980001</v>
          </cell>
          <cell r="C155" t="str">
            <v>MISCELLANEOUS EQUIPMENT</v>
          </cell>
          <cell r="Q155">
            <v>0</v>
          </cell>
        </row>
        <row r="156">
          <cell r="C156" t="str">
            <v>Transmission Common Plant</v>
          </cell>
          <cell r="E156">
            <v>0</v>
          </cell>
          <cell r="F156">
            <v>0</v>
          </cell>
          <cell r="G156">
            <v>0</v>
          </cell>
          <cell r="H156">
            <v>0</v>
          </cell>
          <cell r="I156">
            <v>0</v>
          </cell>
          <cell r="J156">
            <v>0</v>
          </cell>
          <cell r="K156">
            <v>0</v>
          </cell>
          <cell r="L156">
            <v>0</v>
          </cell>
          <cell r="M156">
            <v>0</v>
          </cell>
          <cell r="N156">
            <v>0</v>
          </cell>
          <cell r="O156">
            <v>0</v>
          </cell>
          <cell r="P156">
            <v>0</v>
          </cell>
          <cell r="Q156">
            <v>0</v>
          </cell>
        </row>
        <row r="158">
          <cell r="B158" t="str">
            <v>E3030001</v>
          </cell>
          <cell r="C158" t="str">
            <v>Intangibles</v>
          </cell>
          <cell r="Q158">
            <v>0</v>
          </cell>
        </row>
        <row r="160">
          <cell r="B160" t="str">
            <v>E3501001</v>
          </cell>
          <cell r="C160" t="str">
            <v>LAND AND LAND RIGHTS</v>
          </cell>
          <cell r="G160">
            <v>0</v>
          </cell>
          <cell r="K160">
            <v>-23803367.379999999</v>
          </cell>
          <cell r="M160">
            <v>219890.88000001013</v>
          </cell>
          <cell r="N160">
            <v>-7195.83</v>
          </cell>
          <cell r="O160">
            <v>23803367.379999999</v>
          </cell>
          <cell r="P160">
            <v>-20681559.569999997</v>
          </cell>
          <cell r="Q160">
            <v>-20468864.519999985</v>
          </cell>
        </row>
        <row r="161">
          <cell r="B161" t="str">
            <v>E3502001</v>
          </cell>
          <cell r="C161" t="str">
            <v>LIMITED TERM LAND</v>
          </cell>
          <cell r="Q161">
            <v>0</v>
          </cell>
        </row>
        <row r="162">
          <cell r="B162" t="str">
            <v>E3503001</v>
          </cell>
          <cell r="C162" t="str">
            <v>SIDEWALKS &amp; CURBS</v>
          </cell>
          <cell r="M162">
            <v>0</v>
          </cell>
          <cell r="N162">
            <v>7195.83</v>
          </cell>
          <cell r="Q162">
            <v>7195.83</v>
          </cell>
        </row>
        <row r="163">
          <cell r="B163" t="str">
            <v>E3520001</v>
          </cell>
          <cell r="C163" t="str">
            <v>STRUCTURES &amp; IMPROVEMENTS</v>
          </cell>
          <cell r="G163">
            <v>0</v>
          </cell>
          <cell r="M163">
            <v>0</v>
          </cell>
          <cell r="Q163">
            <v>0</v>
          </cell>
        </row>
        <row r="164">
          <cell r="B164" t="str">
            <v>E3531001</v>
          </cell>
          <cell r="C164" t="str">
            <v>STATION EQUIPMENT (OTHER THAN YARDS</v>
          </cell>
          <cell r="E164">
            <v>-2353676.86</v>
          </cell>
          <cell r="F164">
            <v>-296046.99</v>
          </cell>
          <cell r="G164">
            <v>1111292.3999999999</v>
          </cell>
          <cell r="I164">
            <v>-1203062</v>
          </cell>
          <cell r="M164">
            <v>0</v>
          </cell>
          <cell r="Q164">
            <v>-2741493.4499999997</v>
          </cell>
        </row>
        <row r="165">
          <cell r="B165" t="str">
            <v>E3532001</v>
          </cell>
          <cell r="C165" t="str">
            <v>STATION EQUIPMENT (YARDS CREEK)</v>
          </cell>
          <cell r="G165">
            <v>0</v>
          </cell>
          <cell r="M165">
            <v>0</v>
          </cell>
          <cell r="Q165">
            <v>0</v>
          </cell>
        </row>
        <row r="166">
          <cell r="B166" t="str">
            <v>E3538001</v>
          </cell>
          <cell r="C166" t="str">
            <v>Spare &amp; Emergency Station Equipment</v>
          </cell>
          <cell r="G166">
            <v>0</v>
          </cell>
          <cell r="M166">
            <v>0</v>
          </cell>
          <cell r="Q166">
            <v>0</v>
          </cell>
        </row>
        <row r="167">
          <cell r="B167" t="str">
            <v>E3540001</v>
          </cell>
          <cell r="C167" t="str">
            <v>TOWERS AND FIXTURES - 138, 230 RO 34</v>
          </cell>
          <cell r="G167">
            <v>0</v>
          </cell>
          <cell r="M167">
            <v>416879.65000003576</v>
          </cell>
          <cell r="Q167">
            <v>416879.65000003576</v>
          </cell>
        </row>
        <row r="168">
          <cell r="B168" t="str">
            <v>E3541001</v>
          </cell>
          <cell r="C168" t="str">
            <v>TOWERS AND FIXTURES - TOWER FOUNDATION</v>
          </cell>
          <cell r="G168">
            <v>0</v>
          </cell>
          <cell r="M168">
            <v>0</v>
          </cell>
          <cell r="Q168">
            <v>0</v>
          </cell>
        </row>
        <row r="169">
          <cell r="B169" t="str">
            <v>E3542001</v>
          </cell>
          <cell r="C169" t="str">
            <v>TOWERS AND FIXTURES - TOWERS</v>
          </cell>
          <cell r="G169">
            <v>0</v>
          </cell>
          <cell r="M169">
            <v>0</v>
          </cell>
          <cell r="Q169">
            <v>0</v>
          </cell>
        </row>
        <row r="170">
          <cell r="B170" t="str">
            <v>E3551001</v>
          </cell>
          <cell r="C170" t="str">
            <v>POLES</v>
          </cell>
          <cell r="G170">
            <v>0</v>
          </cell>
          <cell r="M170">
            <v>0</v>
          </cell>
          <cell r="Q170">
            <v>0</v>
          </cell>
        </row>
        <row r="171">
          <cell r="B171" t="str">
            <v>E3552001</v>
          </cell>
          <cell r="C171" t="str">
            <v>POLE FIXTURES</v>
          </cell>
          <cell r="G171">
            <v>0</v>
          </cell>
          <cell r="M171">
            <v>0</v>
          </cell>
          <cell r="Q171">
            <v>0</v>
          </cell>
        </row>
        <row r="172">
          <cell r="B172" t="str">
            <v>E3553001</v>
          </cell>
          <cell r="C172" t="str">
            <v>MASS PROPERTY POLES</v>
          </cell>
          <cell r="G172">
            <v>-468482.35000000335</v>
          </cell>
          <cell r="M172">
            <v>0</v>
          </cell>
          <cell r="Q172">
            <v>-468482.35000000335</v>
          </cell>
        </row>
        <row r="173">
          <cell r="B173" t="str">
            <v>E3554001</v>
          </cell>
          <cell r="C173" t="str">
            <v>69KV-E3554007-Pole Fixtures-TC10</v>
          </cell>
          <cell r="G173">
            <v>114792.88000000035</v>
          </cell>
          <cell r="M173">
            <v>0</v>
          </cell>
          <cell r="Q173">
            <v>114792.88000000035</v>
          </cell>
        </row>
        <row r="174">
          <cell r="B174" t="str">
            <v>E3560001</v>
          </cell>
          <cell r="C174" t="str">
            <v>OVERHEAD CONDUCTORS AND DEVICES</v>
          </cell>
          <cell r="G174">
            <v>-2966657.2699999996</v>
          </cell>
          <cell r="M174">
            <v>0</v>
          </cell>
          <cell r="Q174">
            <v>-2966657.2699999996</v>
          </cell>
        </row>
        <row r="175">
          <cell r="B175" t="str">
            <v>E3561001</v>
          </cell>
          <cell r="C175" t="str">
            <v>69KV-E3561007-Overhead Conductors &amp; Devices-Tc10</v>
          </cell>
          <cell r="G175">
            <v>-114167.88999999315</v>
          </cell>
          <cell r="M175">
            <v>0</v>
          </cell>
          <cell r="Q175">
            <v>-114167.88999999315</v>
          </cell>
        </row>
        <row r="176">
          <cell r="B176" t="str">
            <v>E3570001</v>
          </cell>
          <cell r="C176" t="str">
            <v>UNDERGROUND CONDUIT</v>
          </cell>
          <cell r="G176">
            <v>0</v>
          </cell>
          <cell r="M176">
            <v>-416879.65</v>
          </cell>
          <cell r="Q176">
            <v>-416879.65</v>
          </cell>
        </row>
        <row r="177">
          <cell r="B177" t="str">
            <v>E3571001</v>
          </cell>
          <cell r="C177" t="str">
            <v>69KV-E3571007-Underground Conduit-TC10</v>
          </cell>
          <cell r="G177">
            <v>-71089.640000000596</v>
          </cell>
          <cell r="M177">
            <v>0</v>
          </cell>
          <cell r="Q177">
            <v>-71089.640000000596</v>
          </cell>
        </row>
        <row r="178">
          <cell r="B178" t="str">
            <v>E3580001</v>
          </cell>
          <cell r="C178" t="str">
            <v>UNDERGROUND CONDUCTORS AND DEVICES</v>
          </cell>
          <cell r="G178">
            <v>-1520.6100000000001</v>
          </cell>
          <cell r="K178">
            <v>23803367.379999999</v>
          </cell>
          <cell r="M178">
            <v>0</v>
          </cell>
          <cell r="O178">
            <v>-23803367.379999999</v>
          </cell>
          <cell r="Q178">
            <v>-1520.609999999404</v>
          </cell>
        </row>
        <row r="179">
          <cell r="B179" t="str">
            <v>E3582001</v>
          </cell>
          <cell r="C179" t="str">
            <v>69KV-E3582007-Undrgnd Cond&amp;Devics(Conv)-Tc10</v>
          </cell>
          <cell r="G179">
            <v>3507214.67</v>
          </cell>
          <cell r="M179">
            <v>0</v>
          </cell>
          <cell r="Q179">
            <v>3507214.67</v>
          </cell>
        </row>
        <row r="180">
          <cell r="B180" t="str">
            <v>E3583001</v>
          </cell>
          <cell r="C180" t="str">
            <v>69KV-E3583007-Undrgnd Cond&amp;Dev(Buried)-TC10</v>
          </cell>
          <cell r="G180">
            <v>-89.790000000037253</v>
          </cell>
          <cell r="M180">
            <v>0</v>
          </cell>
          <cell r="Q180">
            <v>-89.790000000037253</v>
          </cell>
        </row>
        <row r="181">
          <cell r="B181" t="str">
            <v>E3588001</v>
          </cell>
          <cell r="C181" t="str">
            <v>UNDERGROUND CONDUCTORS AND DEVICES</v>
          </cell>
          <cell r="G181">
            <v>0</v>
          </cell>
          <cell r="M181">
            <v>0</v>
          </cell>
          <cell r="Q181">
            <v>0</v>
          </cell>
        </row>
        <row r="182">
          <cell r="B182" t="str">
            <v>E3590001</v>
          </cell>
          <cell r="C182" t="str">
            <v>ROADS AND TRAILS</v>
          </cell>
          <cell r="G182">
            <v>0</v>
          </cell>
          <cell r="M182">
            <v>0</v>
          </cell>
          <cell r="Q182">
            <v>0</v>
          </cell>
        </row>
        <row r="183">
          <cell r="C183" t="str">
            <v>Transmission Plant</v>
          </cell>
          <cell r="E183">
            <v>-2353676.86</v>
          </cell>
          <cell r="F183">
            <v>-296046.99</v>
          </cell>
          <cell r="G183">
            <v>1111292.4000000036</v>
          </cell>
          <cell r="H183">
            <v>0</v>
          </cell>
          <cell r="I183">
            <v>-1203062</v>
          </cell>
          <cell r="J183">
            <v>0</v>
          </cell>
          <cell r="K183">
            <v>0</v>
          </cell>
          <cell r="L183">
            <v>0</v>
          </cell>
          <cell r="M183">
            <v>219890.88000004587</v>
          </cell>
          <cell r="N183">
            <v>0</v>
          </cell>
          <cell r="O183">
            <v>0</v>
          </cell>
          <cell r="P183">
            <v>-20681559.569999997</v>
          </cell>
          <cell r="Q183">
            <v>-23203162.139999941</v>
          </cell>
        </row>
        <row r="185">
          <cell r="B185" t="str">
            <v>E3891001</v>
          </cell>
          <cell r="C185" t="str">
            <v>LAND AND LAND RIGHTS</v>
          </cell>
          <cell r="Q185">
            <v>0</v>
          </cell>
        </row>
        <row r="186">
          <cell r="B186" t="str">
            <v>E3900001</v>
          </cell>
          <cell r="C186" t="str">
            <v>STRUCTURES AND IMPROVEMENTS</v>
          </cell>
          <cell r="Q186">
            <v>0</v>
          </cell>
        </row>
        <row r="187">
          <cell r="B187" t="str">
            <v>E3901001</v>
          </cell>
          <cell r="C187" t="str">
            <v>PARK PLAZA IMPROVEMENTS</v>
          </cell>
          <cell r="Q187">
            <v>0</v>
          </cell>
        </row>
        <row r="188">
          <cell r="B188" t="str">
            <v>E3911001</v>
          </cell>
          <cell r="C188" t="str">
            <v>FURNITURE EQUIPMENT</v>
          </cell>
          <cell r="Q188">
            <v>0</v>
          </cell>
        </row>
        <row r="189">
          <cell r="B189" t="str">
            <v>E3912001</v>
          </cell>
          <cell r="C189" t="str">
            <v>OFFICE EQUIPMENT</v>
          </cell>
          <cell r="P189">
            <v>0</v>
          </cell>
          <cell r="Q189">
            <v>0</v>
          </cell>
        </row>
        <row r="190">
          <cell r="B190" t="str">
            <v>E3913101</v>
          </cell>
          <cell r="C190" t="str">
            <v>COMPUTER EQUIPMENT</v>
          </cell>
          <cell r="P190">
            <v>0</v>
          </cell>
          <cell r="Q190">
            <v>0</v>
          </cell>
        </row>
        <row r="191">
          <cell r="B191" t="str">
            <v>E3913301</v>
          </cell>
          <cell r="C191" t="str">
            <v>COMPUTER</v>
          </cell>
          <cell r="Q191">
            <v>0</v>
          </cell>
        </row>
        <row r="192">
          <cell r="B192" t="str">
            <v>E3921001</v>
          </cell>
          <cell r="C192" t="str">
            <v>TRANSPORTATION EQUIPMENT 13K lb</v>
          </cell>
          <cell r="N192">
            <v>138049.66999999998</v>
          </cell>
          <cell r="P192">
            <v>0</v>
          </cell>
          <cell r="Q192">
            <v>138049.66999999998</v>
          </cell>
        </row>
        <row r="193">
          <cell r="B193" t="str">
            <v>E3922001</v>
          </cell>
          <cell r="C193" t="str">
            <v>TRANSPORTATION EQUIPMENT over 13K lb</v>
          </cell>
          <cell r="N193">
            <v>-138049.67000000001</v>
          </cell>
          <cell r="P193">
            <v>416409.73</v>
          </cell>
          <cell r="Q193">
            <v>278360.05999999994</v>
          </cell>
        </row>
        <row r="194">
          <cell r="B194" t="str">
            <v>E3923001</v>
          </cell>
          <cell r="C194" t="str">
            <v>HELICOPTERS</v>
          </cell>
          <cell r="Q194">
            <v>0</v>
          </cell>
        </row>
        <row r="195">
          <cell r="B195" t="str">
            <v>E3930001</v>
          </cell>
          <cell r="C195" t="str">
            <v>STORES EQUIPMENT</v>
          </cell>
          <cell r="Q195">
            <v>0</v>
          </cell>
        </row>
        <row r="196">
          <cell r="B196" t="str">
            <v>E3940001</v>
          </cell>
          <cell r="C196" t="str">
            <v>TOOLS, SHOP, GARAGE EQUIPMENT</v>
          </cell>
          <cell r="P196">
            <v>0</v>
          </cell>
          <cell r="Q196">
            <v>0</v>
          </cell>
        </row>
        <row r="197">
          <cell r="B197" t="str">
            <v>E3950001</v>
          </cell>
          <cell r="C197" t="str">
            <v>LABORATORY EQUIPMENT</v>
          </cell>
          <cell r="Q197">
            <v>0</v>
          </cell>
        </row>
        <row r="198">
          <cell r="B198" t="str">
            <v>E3960001</v>
          </cell>
          <cell r="C198" t="str">
            <v>POWER OPERATED EQUIPMENT</v>
          </cell>
          <cell r="P198">
            <v>-416409.73</v>
          </cell>
          <cell r="Q198">
            <v>-416409.73</v>
          </cell>
        </row>
        <row r="199">
          <cell r="B199" t="str">
            <v>E3970001</v>
          </cell>
          <cell r="C199" t="str">
            <v>COMMUNICATION EQUIPMENT</v>
          </cell>
          <cell r="P199">
            <v>0</v>
          </cell>
          <cell r="Q199">
            <v>0</v>
          </cell>
        </row>
        <row r="200">
          <cell r="B200" t="str">
            <v>E3980001</v>
          </cell>
          <cell r="C200" t="str">
            <v>MISCELLANEOUS EQUIPMENT</v>
          </cell>
          <cell r="Q200">
            <v>0</v>
          </cell>
        </row>
        <row r="213">
          <cell r="B213" t="str">
            <v>C3903001</v>
          </cell>
          <cell r="C213" t="str">
            <v>IMPROVEMENTS OTHER T</v>
          </cell>
          <cell r="Q213">
            <v>0</v>
          </cell>
        </row>
        <row r="214">
          <cell r="B214" t="str">
            <v>C3911001</v>
          </cell>
          <cell r="C214" t="str">
            <v>OFFICE FURNITURE</v>
          </cell>
          <cell r="Q214">
            <v>0</v>
          </cell>
        </row>
        <row r="215">
          <cell r="B215" t="str">
            <v>C3912001</v>
          </cell>
          <cell r="C215" t="str">
            <v>OFFICE EQUIPMENT</v>
          </cell>
          <cell r="Q215">
            <v>0</v>
          </cell>
        </row>
        <row r="216">
          <cell r="B216" t="str">
            <v>C3913001</v>
          </cell>
          <cell r="C216" t="str">
            <v>OFFICE COMPUTER EQUIPMENT</v>
          </cell>
          <cell r="Q216">
            <v>0</v>
          </cell>
        </row>
        <row r="217">
          <cell r="B217" t="str">
            <v>C3921101</v>
          </cell>
          <cell r="C217" t="str">
            <v>TRANSPORT EQUIPMENT</v>
          </cell>
          <cell r="Q217">
            <v>0</v>
          </cell>
        </row>
        <row r="218">
          <cell r="B218" t="str">
            <v>C3922001</v>
          </cell>
          <cell r="C218" t="str">
            <v>TRANSPORT EQUIPMENT</v>
          </cell>
          <cell r="Q218">
            <v>0</v>
          </cell>
        </row>
        <row r="219">
          <cell r="B219" t="str">
            <v>C3930001</v>
          </cell>
          <cell r="C219" t="str">
            <v>STORES EQUIPMENT</v>
          </cell>
          <cell r="Q219">
            <v>0</v>
          </cell>
        </row>
        <row r="220">
          <cell r="B220" t="str">
            <v>C3940001</v>
          </cell>
          <cell r="C220" t="str">
            <v>TOOLS, SHOP AND GAR</v>
          </cell>
          <cell r="Q220">
            <v>0</v>
          </cell>
        </row>
        <row r="221">
          <cell r="B221" t="str">
            <v>C3950001</v>
          </cell>
          <cell r="C221" t="str">
            <v>LABORATORY EQUIPMENT</v>
          </cell>
          <cell r="Q221">
            <v>0</v>
          </cell>
        </row>
        <row r="222">
          <cell r="B222" t="str">
            <v>C3970001</v>
          </cell>
          <cell r="C222" t="str">
            <v>COMMUNICATION EQUIPMENT</v>
          </cell>
          <cell r="Q222">
            <v>0</v>
          </cell>
        </row>
        <row r="223">
          <cell r="B223" t="str">
            <v>C3980001</v>
          </cell>
          <cell r="C223" t="str">
            <v>MISCELLANEOUS EQUIPMENT</v>
          </cell>
          <cell r="Q223">
            <v>0</v>
          </cell>
        </row>
        <row r="224">
          <cell r="C224" t="str">
            <v>Transmission Common Plant</v>
          </cell>
          <cell r="E224">
            <v>0</v>
          </cell>
          <cell r="F224">
            <v>0</v>
          </cell>
          <cell r="G224">
            <v>0</v>
          </cell>
          <cell r="H224">
            <v>0</v>
          </cell>
          <cell r="I224">
            <v>0</v>
          </cell>
          <cell r="J224">
            <v>0</v>
          </cell>
          <cell r="K224">
            <v>0</v>
          </cell>
          <cell r="L224">
            <v>0</v>
          </cell>
          <cell r="M224">
            <v>0</v>
          </cell>
          <cell r="N224">
            <v>0</v>
          </cell>
          <cell r="O224">
            <v>0</v>
          </cell>
          <cell r="P224">
            <v>0</v>
          </cell>
          <cell r="Q224">
            <v>0</v>
          </cell>
        </row>
        <row r="226">
          <cell r="B226" t="str">
            <v>E3501001</v>
          </cell>
          <cell r="C226" t="str">
            <v>LAND AND LAND RIGHTS</v>
          </cell>
          <cell r="E226">
            <v>0</v>
          </cell>
          <cell r="G226">
            <v>0</v>
          </cell>
          <cell r="H226">
            <v>0</v>
          </cell>
          <cell r="I226">
            <v>-2643.85</v>
          </cell>
          <cell r="J226">
            <v>0</v>
          </cell>
          <cell r="K226">
            <v>0</v>
          </cell>
          <cell r="M226">
            <v>-515.16999999999996</v>
          </cell>
          <cell r="N226">
            <v>0</v>
          </cell>
          <cell r="O226">
            <v>-171188.75</v>
          </cell>
          <cell r="P226">
            <v>0</v>
          </cell>
          <cell r="Q226">
            <v>-174347.77</v>
          </cell>
        </row>
        <row r="227">
          <cell r="B227" t="str">
            <v>E3502001</v>
          </cell>
          <cell r="C227" t="str">
            <v>LIMITED TERM LAND</v>
          </cell>
        </row>
        <row r="228">
          <cell r="B228" t="str">
            <v>E3503001</v>
          </cell>
          <cell r="C228" t="str">
            <v>SIDEWALKS &amp; CURBS</v>
          </cell>
          <cell r="E228">
            <v>0</v>
          </cell>
          <cell r="G228">
            <v>0</v>
          </cell>
          <cell r="H228">
            <v>0</v>
          </cell>
          <cell r="I228">
            <v>0</v>
          </cell>
          <cell r="J228">
            <v>0</v>
          </cell>
          <cell r="K228">
            <v>0</v>
          </cell>
          <cell r="M228">
            <v>0</v>
          </cell>
          <cell r="N228">
            <v>0</v>
          </cell>
          <cell r="Q228">
            <v>0</v>
          </cell>
        </row>
        <row r="229">
          <cell r="B229" t="str">
            <v>E3520001</v>
          </cell>
          <cell r="C229" t="str">
            <v>STRUCTURES &amp; IMPROVEMENTS</v>
          </cell>
          <cell r="E229">
            <v>0</v>
          </cell>
          <cell r="G229">
            <v>0</v>
          </cell>
          <cell r="I229">
            <v>0</v>
          </cell>
          <cell r="J229">
            <v>0</v>
          </cell>
          <cell r="K229">
            <v>0</v>
          </cell>
          <cell r="M229">
            <v>0</v>
          </cell>
          <cell r="N229">
            <v>0</v>
          </cell>
          <cell r="O229">
            <v>0</v>
          </cell>
          <cell r="P229">
            <v>0</v>
          </cell>
          <cell r="Q229">
            <v>0</v>
          </cell>
        </row>
        <row r="230">
          <cell r="B230" t="str">
            <v>E3531001</v>
          </cell>
          <cell r="C230" t="str">
            <v>STATION EQUIPMENT (OTHER THAN YARDS</v>
          </cell>
          <cell r="E230">
            <v>-12422018.880000001</v>
          </cell>
          <cell r="F230">
            <v>-846111.53</v>
          </cell>
          <cell r="G230">
            <v>-15825112.970000001</v>
          </cell>
          <cell r="H230">
            <v>-16263750.52</v>
          </cell>
          <cell r="I230">
            <v>-6577853.54</v>
          </cell>
          <cell r="J230">
            <v>-1358766.06</v>
          </cell>
          <cell r="K230">
            <v>-1070526.3899999999</v>
          </cell>
          <cell r="L230">
            <v>-38552816.57</v>
          </cell>
          <cell r="M230">
            <v>-19539.2</v>
          </cell>
          <cell r="N230">
            <v>-4329099.83</v>
          </cell>
          <cell r="O230">
            <v>-2965560.02</v>
          </cell>
          <cell r="P230">
            <v>-1062291</v>
          </cell>
          <cell r="Q230">
            <v>-101293446.51000001</v>
          </cell>
        </row>
        <row r="231">
          <cell r="B231" t="str">
            <v>E3532001</v>
          </cell>
          <cell r="C231" t="str">
            <v>STATION EQUIPMENT (YARDS CREEK)</v>
          </cell>
          <cell r="E231">
            <v>0</v>
          </cell>
          <cell r="G231">
            <v>0</v>
          </cell>
          <cell r="I231">
            <v>0</v>
          </cell>
          <cell r="J231">
            <v>0</v>
          </cell>
          <cell r="K231">
            <v>0</v>
          </cell>
          <cell r="L231">
            <v>0</v>
          </cell>
          <cell r="M231">
            <v>0</v>
          </cell>
          <cell r="N231">
            <v>0</v>
          </cell>
          <cell r="Q231">
            <v>0</v>
          </cell>
        </row>
        <row r="232">
          <cell r="B232" t="str">
            <v>E3538001</v>
          </cell>
          <cell r="C232" t="str">
            <v>Spare &amp; Emergency Station Equipment</v>
          </cell>
          <cell r="E232">
            <v>0</v>
          </cell>
          <cell r="G232">
            <v>0</v>
          </cell>
          <cell r="I232">
            <v>0</v>
          </cell>
          <cell r="J232">
            <v>0</v>
          </cell>
          <cell r="K232">
            <v>0</v>
          </cell>
          <cell r="L232">
            <v>0</v>
          </cell>
          <cell r="M232">
            <v>0</v>
          </cell>
          <cell r="N232">
            <v>0</v>
          </cell>
          <cell r="Q232">
            <v>0</v>
          </cell>
        </row>
        <row r="233">
          <cell r="B233" t="str">
            <v>E3540001</v>
          </cell>
          <cell r="C233" t="str">
            <v>TOWERS AND FIXTURES - 138, 230 RO 34</v>
          </cell>
          <cell r="E233">
            <v>-360220.48</v>
          </cell>
          <cell r="G233">
            <v>-120542.34</v>
          </cell>
          <cell r="I233">
            <v>-69856.7</v>
          </cell>
          <cell r="J233">
            <v>-29796.43</v>
          </cell>
          <cell r="K233">
            <v>0</v>
          </cell>
          <cell r="L233">
            <v>0</v>
          </cell>
          <cell r="M233">
            <v>-635384.32999999996</v>
          </cell>
          <cell r="N233">
            <v>-1811983.24</v>
          </cell>
          <cell r="O233">
            <v>0</v>
          </cell>
          <cell r="P233">
            <v>0</v>
          </cell>
          <cell r="Q233">
            <v>-3027783.5199999996</v>
          </cell>
        </row>
        <row r="234">
          <cell r="B234" t="str">
            <v>E3541001</v>
          </cell>
          <cell r="C234" t="str">
            <v>TOWERS AND FIXTURES - TOWER FOUNDATION</v>
          </cell>
          <cell r="E234">
            <v>0</v>
          </cell>
          <cell r="G234">
            <v>0</v>
          </cell>
          <cell r="I234">
            <v>0</v>
          </cell>
          <cell r="J234">
            <v>0</v>
          </cell>
          <cell r="K234">
            <v>0</v>
          </cell>
          <cell r="L234">
            <v>0</v>
          </cell>
          <cell r="M234">
            <v>0</v>
          </cell>
          <cell r="N234">
            <v>0</v>
          </cell>
          <cell r="Q234">
            <v>0</v>
          </cell>
        </row>
        <row r="235">
          <cell r="B235" t="str">
            <v>E3542001</v>
          </cell>
          <cell r="C235" t="str">
            <v>TOWERS AND FIXTURES - TOWERS</v>
          </cell>
          <cell r="E235">
            <v>0</v>
          </cell>
          <cell r="G235">
            <v>0</v>
          </cell>
          <cell r="I235">
            <v>0</v>
          </cell>
          <cell r="J235">
            <v>0</v>
          </cell>
          <cell r="K235">
            <v>0</v>
          </cell>
          <cell r="L235">
            <v>0</v>
          </cell>
          <cell r="M235">
            <v>0</v>
          </cell>
          <cell r="N235">
            <v>0</v>
          </cell>
          <cell r="Q235">
            <v>0</v>
          </cell>
        </row>
        <row r="236">
          <cell r="B236" t="str">
            <v>E3551001</v>
          </cell>
          <cell r="C236" t="str">
            <v>POLES</v>
          </cell>
          <cell r="E236">
            <v>0</v>
          </cell>
          <cell r="G236">
            <v>0</v>
          </cell>
          <cell r="I236">
            <v>0</v>
          </cell>
          <cell r="J236">
            <v>0</v>
          </cell>
          <cell r="K236">
            <v>0</v>
          </cell>
          <cell r="L236">
            <v>0</v>
          </cell>
          <cell r="M236">
            <v>0</v>
          </cell>
          <cell r="N236">
            <v>0</v>
          </cell>
          <cell r="Q236">
            <v>0</v>
          </cell>
        </row>
        <row r="237">
          <cell r="B237" t="str">
            <v>E3552001</v>
          </cell>
          <cell r="C237" t="str">
            <v>POLE FIXTURES</v>
          </cell>
          <cell r="E237">
            <v>0</v>
          </cell>
          <cell r="G237">
            <v>0</v>
          </cell>
          <cell r="I237">
            <v>0</v>
          </cell>
          <cell r="J237">
            <v>0</v>
          </cell>
          <cell r="K237">
            <v>0</v>
          </cell>
          <cell r="L237">
            <v>0</v>
          </cell>
          <cell r="M237">
            <v>0</v>
          </cell>
          <cell r="N237">
            <v>0</v>
          </cell>
          <cell r="Q237">
            <v>0</v>
          </cell>
        </row>
        <row r="238">
          <cell r="B238" t="str">
            <v>E3553001</v>
          </cell>
          <cell r="C238" t="str">
            <v>MASS PROPERTY POLES</v>
          </cell>
          <cell r="E238">
            <v>0</v>
          </cell>
          <cell r="G238">
            <v>0</v>
          </cell>
          <cell r="I238">
            <v>0</v>
          </cell>
          <cell r="J238">
            <v>0</v>
          </cell>
          <cell r="K238">
            <v>0</v>
          </cell>
          <cell r="L238">
            <v>0</v>
          </cell>
          <cell r="M238">
            <v>0</v>
          </cell>
          <cell r="N238">
            <v>0</v>
          </cell>
          <cell r="O238">
            <v>0</v>
          </cell>
          <cell r="P238">
            <v>0</v>
          </cell>
          <cell r="Q238">
            <v>0</v>
          </cell>
        </row>
        <row r="239">
          <cell r="B239" t="str">
            <v>E3554001</v>
          </cell>
          <cell r="C239" t="str">
            <v>69KV-E3554007-Pole Fixtures-TC10</v>
          </cell>
          <cell r="E239">
            <v>0</v>
          </cell>
          <cell r="G239">
            <v>0</v>
          </cell>
          <cell r="I239">
            <v>0</v>
          </cell>
          <cell r="J239">
            <v>0</v>
          </cell>
          <cell r="K239">
            <v>0</v>
          </cell>
          <cell r="L239">
            <v>0</v>
          </cell>
          <cell r="M239">
            <v>0</v>
          </cell>
          <cell r="N239">
            <v>0</v>
          </cell>
          <cell r="O239">
            <v>0</v>
          </cell>
          <cell r="P239">
            <v>0</v>
          </cell>
          <cell r="Q239">
            <v>0</v>
          </cell>
        </row>
        <row r="240">
          <cell r="B240" t="str">
            <v>E3560001</v>
          </cell>
          <cell r="C240" t="str">
            <v>OVERHEAD CONDUCTORS AND DEVICES</v>
          </cell>
          <cell r="E240">
            <v>-1241642.75</v>
          </cell>
          <cell r="G240">
            <v>-1090296.8600000001</v>
          </cell>
          <cell r="I240">
            <v>-1097148.24</v>
          </cell>
          <cell r="J240">
            <v>-528332.67000000004</v>
          </cell>
          <cell r="K240">
            <v>0</v>
          </cell>
          <cell r="L240">
            <v>0</v>
          </cell>
          <cell r="M240">
            <v>-1975265.95</v>
          </cell>
          <cell r="N240">
            <v>-2623024.83</v>
          </cell>
          <cell r="O240">
            <v>-947396.92</v>
          </cell>
          <cell r="P240">
            <v>-46815.53</v>
          </cell>
          <cell r="Q240">
            <v>-9549923.75</v>
          </cell>
        </row>
        <row r="241">
          <cell r="B241" t="str">
            <v>E3561001</v>
          </cell>
          <cell r="C241" t="str">
            <v>69KV-E3561007-Overhead Conductors &amp; Devices-Tc10</v>
          </cell>
          <cell r="E241">
            <v>0</v>
          </cell>
          <cell r="G241">
            <v>0</v>
          </cell>
          <cell r="I241">
            <v>0</v>
          </cell>
          <cell r="J241">
            <v>0</v>
          </cell>
          <cell r="K241">
            <v>0</v>
          </cell>
          <cell r="L241">
            <v>0</v>
          </cell>
          <cell r="M241">
            <v>0</v>
          </cell>
          <cell r="N241">
            <v>0</v>
          </cell>
          <cell r="O241">
            <v>0</v>
          </cell>
          <cell r="P241">
            <v>0</v>
          </cell>
          <cell r="Q241">
            <v>0</v>
          </cell>
        </row>
        <row r="242">
          <cell r="B242" t="str">
            <v>E3570001</v>
          </cell>
          <cell r="C242" t="str">
            <v>UNDERGROUND CONDUIT</v>
          </cell>
          <cell r="E242">
            <v>-25096.89</v>
          </cell>
          <cell r="G242">
            <v>0</v>
          </cell>
          <cell r="I242">
            <v>0</v>
          </cell>
          <cell r="J242">
            <v>0</v>
          </cell>
          <cell r="K242">
            <v>-39455.79</v>
          </cell>
          <cell r="L242">
            <v>0</v>
          </cell>
          <cell r="M242">
            <v>0</v>
          </cell>
          <cell r="N242">
            <v>0</v>
          </cell>
          <cell r="O242">
            <v>0</v>
          </cell>
          <cell r="P242">
            <v>-20725.73</v>
          </cell>
          <cell r="Q242">
            <v>-85278.41</v>
          </cell>
        </row>
        <row r="243">
          <cell r="B243" t="str">
            <v>E3571001</v>
          </cell>
          <cell r="C243" t="str">
            <v>69KV-E3571007-Underground Conduit-TC10</v>
          </cell>
          <cell r="E243">
            <v>0</v>
          </cell>
          <cell r="G243">
            <v>0</v>
          </cell>
          <cell r="I243">
            <v>0</v>
          </cell>
          <cell r="J243">
            <v>0</v>
          </cell>
          <cell r="K243">
            <v>0</v>
          </cell>
          <cell r="L243">
            <v>0</v>
          </cell>
          <cell r="M243">
            <v>0</v>
          </cell>
          <cell r="N243">
            <v>0</v>
          </cell>
          <cell r="O243">
            <v>0</v>
          </cell>
          <cell r="P243">
            <v>0</v>
          </cell>
          <cell r="Q243">
            <v>0</v>
          </cell>
        </row>
        <row r="244">
          <cell r="B244" t="str">
            <v>E3580001</v>
          </cell>
          <cell r="C244" t="str">
            <v>UNDERGROUND CONDUCTORS AND DEVICES</v>
          </cell>
          <cell r="E244">
            <v>-3494629.8</v>
          </cell>
          <cell r="G244">
            <v>0</v>
          </cell>
          <cell r="H244">
            <v>906305.77</v>
          </cell>
          <cell r="I244">
            <v>0</v>
          </cell>
          <cell r="J244">
            <v>0</v>
          </cell>
          <cell r="K244">
            <v>-969628.4</v>
          </cell>
          <cell r="L244">
            <v>0</v>
          </cell>
          <cell r="M244">
            <v>0</v>
          </cell>
          <cell r="N244">
            <v>0</v>
          </cell>
          <cell r="O244">
            <v>0</v>
          </cell>
          <cell r="P244">
            <v>-478727.09</v>
          </cell>
          <cell r="Q244">
            <v>-4036679.5199999996</v>
          </cell>
        </row>
        <row r="245">
          <cell r="B245" t="str">
            <v>E3582001</v>
          </cell>
          <cell r="C245" t="str">
            <v>69KV-E3582007-Undrgnd Cond&amp;Devics(Conv)-Tc10</v>
          </cell>
          <cell r="E245">
            <v>0</v>
          </cell>
          <cell r="G245">
            <v>0</v>
          </cell>
          <cell r="I245">
            <v>0</v>
          </cell>
          <cell r="J245">
            <v>0</v>
          </cell>
          <cell r="K245">
            <v>0</v>
          </cell>
          <cell r="L245">
            <v>0</v>
          </cell>
          <cell r="M245">
            <v>0</v>
          </cell>
          <cell r="N245">
            <v>0</v>
          </cell>
          <cell r="O245">
            <v>0</v>
          </cell>
          <cell r="P245">
            <v>0</v>
          </cell>
          <cell r="Q245">
            <v>0</v>
          </cell>
        </row>
        <row r="246">
          <cell r="B246" t="str">
            <v>E3583001</v>
          </cell>
          <cell r="C246" t="str">
            <v>69KV-E3583007-Undrgnd Cond&amp;Dev(Buried)-TC10</v>
          </cell>
          <cell r="E246">
            <v>0</v>
          </cell>
          <cell r="G246">
            <v>0</v>
          </cell>
          <cell r="H246">
            <v>0</v>
          </cell>
          <cell r="I246">
            <v>0</v>
          </cell>
          <cell r="J246">
            <v>0</v>
          </cell>
          <cell r="K246">
            <v>0</v>
          </cell>
          <cell r="L246">
            <v>0</v>
          </cell>
          <cell r="M246">
            <v>0</v>
          </cell>
          <cell r="N246">
            <v>0</v>
          </cell>
          <cell r="O246">
            <v>0</v>
          </cell>
          <cell r="P246">
            <v>0</v>
          </cell>
          <cell r="Q246">
            <v>0</v>
          </cell>
        </row>
        <row r="247">
          <cell r="B247" t="str">
            <v>E3588001</v>
          </cell>
          <cell r="C247" t="str">
            <v>UNDERGROUND CONDUCTORS AND DEVICES</v>
          </cell>
          <cell r="E247">
            <v>0</v>
          </cell>
          <cell r="G247">
            <v>0</v>
          </cell>
          <cell r="H247">
            <v>0</v>
          </cell>
          <cell r="I247">
            <v>0</v>
          </cell>
          <cell r="J247">
            <v>0</v>
          </cell>
          <cell r="K247">
            <v>0</v>
          </cell>
          <cell r="L247">
            <v>0</v>
          </cell>
          <cell r="M247">
            <v>0</v>
          </cell>
          <cell r="N247">
            <v>0</v>
          </cell>
          <cell r="O247">
            <v>0</v>
          </cell>
          <cell r="P247">
            <v>0</v>
          </cell>
          <cell r="Q247">
            <v>0</v>
          </cell>
        </row>
        <row r="248">
          <cell r="B248" t="str">
            <v>E3590001</v>
          </cell>
          <cell r="C248" t="str">
            <v>ROADS AND TRAILS</v>
          </cell>
          <cell r="E248">
            <v>0</v>
          </cell>
          <cell r="G248">
            <v>0</v>
          </cell>
          <cell r="J248">
            <v>0</v>
          </cell>
          <cell r="K248">
            <v>0</v>
          </cell>
          <cell r="L248">
            <v>0</v>
          </cell>
          <cell r="M248">
            <v>0</v>
          </cell>
          <cell r="O248">
            <v>0</v>
          </cell>
          <cell r="P248">
            <v>0</v>
          </cell>
          <cell r="Q248">
            <v>0</v>
          </cell>
        </row>
        <row r="249">
          <cell r="C249" t="str">
            <v>Transmission Plant</v>
          </cell>
          <cell r="E249">
            <v>-17543608.800000001</v>
          </cell>
          <cell r="F249">
            <v>-846111.53</v>
          </cell>
          <cell r="G249">
            <v>-17035952.170000002</v>
          </cell>
          <cell r="H249">
            <v>-15357444.75</v>
          </cell>
          <cell r="I249">
            <v>-7747502.3300000001</v>
          </cell>
          <cell r="J249">
            <v>-1916895.1600000001</v>
          </cell>
          <cell r="K249">
            <v>-2079610.58</v>
          </cell>
          <cell r="L249">
            <v>-38552816.57</v>
          </cell>
          <cell r="M249">
            <v>-2630704.65</v>
          </cell>
          <cell r="N249">
            <v>-8764107.9000000004</v>
          </cell>
          <cell r="O249">
            <v>-4084145.69</v>
          </cell>
          <cell r="P249">
            <v>-1608559.35</v>
          </cell>
          <cell r="Q249">
            <v>-118167459.47999999</v>
          </cell>
        </row>
        <row r="251">
          <cell r="B251" t="str">
            <v>E3891001</v>
          </cell>
          <cell r="C251" t="str">
            <v>LAND AND LAND RIGHTS</v>
          </cell>
          <cell r="J251">
            <v>0</v>
          </cell>
          <cell r="L251">
            <v>0</v>
          </cell>
          <cell r="M251">
            <v>0</v>
          </cell>
          <cell r="Q251">
            <v>0</v>
          </cell>
        </row>
        <row r="252">
          <cell r="B252" t="str">
            <v>E3900001</v>
          </cell>
          <cell r="C252" t="str">
            <v>STRUCTURES AND IMPROVEMENTS</v>
          </cell>
          <cell r="J252">
            <v>0</v>
          </cell>
          <cell r="L252">
            <v>0</v>
          </cell>
          <cell r="M252">
            <v>0</v>
          </cell>
          <cell r="P252">
            <v>0</v>
          </cell>
          <cell r="Q252">
            <v>0</v>
          </cell>
        </row>
        <row r="253">
          <cell r="B253" t="str">
            <v>E3901001</v>
          </cell>
          <cell r="C253" t="str">
            <v>PARK PLAZA IMPROVEMENTS</v>
          </cell>
          <cell r="J253">
            <v>0</v>
          </cell>
          <cell r="L253">
            <v>0</v>
          </cell>
          <cell r="M253">
            <v>0</v>
          </cell>
          <cell r="Q253">
            <v>0</v>
          </cell>
        </row>
        <row r="254">
          <cell r="B254" t="str">
            <v>E3911001</v>
          </cell>
          <cell r="C254" t="str">
            <v>FURNITURE EQUIPMENT</v>
          </cell>
          <cell r="J254">
            <v>0</v>
          </cell>
          <cell r="L254">
            <v>0</v>
          </cell>
          <cell r="M254">
            <v>0</v>
          </cell>
          <cell r="Q254">
            <v>0</v>
          </cell>
        </row>
        <row r="255">
          <cell r="B255" t="str">
            <v>E3912001</v>
          </cell>
          <cell r="C255" t="str">
            <v>OFFICE EQUIPMENT</v>
          </cell>
          <cell r="L255">
            <v>0</v>
          </cell>
          <cell r="M255">
            <v>0</v>
          </cell>
          <cell r="Q255">
            <v>0</v>
          </cell>
        </row>
        <row r="256">
          <cell r="B256" t="str">
            <v>E3913101</v>
          </cell>
          <cell r="C256" t="str">
            <v>COMPUTER EQUIPMENT</v>
          </cell>
          <cell r="L256">
            <v>0</v>
          </cell>
          <cell r="M256">
            <v>0</v>
          </cell>
          <cell r="Q256">
            <v>0</v>
          </cell>
        </row>
        <row r="257">
          <cell r="B257" t="str">
            <v>E3913301</v>
          </cell>
          <cell r="C257" t="str">
            <v>COMPUTER</v>
          </cell>
          <cell r="E257">
            <v>-407553.87</v>
          </cell>
          <cell r="L257">
            <v>0</v>
          </cell>
          <cell r="M257">
            <v>0</v>
          </cell>
          <cell r="Q257">
            <v>-407553.87</v>
          </cell>
        </row>
        <row r="258">
          <cell r="B258" t="str">
            <v>E3921001</v>
          </cell>
          <cell r="C258" t="str">
            <v>TRANSPORTATION EQUIPMENT 13K lb</v>
          </cell>
          <cell r="E258">
            <v>-214977.49</v>
          </cell>
          <cell r="K258">
            <v>-32878.97</v>
          </cell>
          <cell r="L258">
            <v>-1560699.15</v>
          </cell>
          <cell r="M258">
            <v>-73242.600000000006</v>
          </cell>
          <cell r="Q258">
            <v>-1881798.21</v>
          </cell>
        </row>
        <row r="259">
          <cell r="B259" t="str">
            <v>E3922001</v>
          </cell>
          <cell r="C259" t="str">
            <v>TRANSPORTATION EQUIPMENT over 13K lb</v>
          </cell>
          <cell r="K259">
            <v>0</v>
          </cell>
          <cell r="L259">
            <v>-80512.36</v>
          </cell>
          <cell r="M259">
            <v>0</v>
          </cell>
          <cell r="Q259">
            <v>-80512.36</v>
          </cell>
        </row>
        <row r="260">
          <cell r="B260" t="str">
            <v>E3923001</v>
          </cell>
          <cell r="C260" t="str">
            <v>HELICOPTERS</v>
          </cell>
          <cell r="K260">
            <v>0</v>
          </cell>
          <cell r="L260">
            <v>0</v>
          </cell>
          <cell r="M260">
            <v>0</v>
          </cell>
          <cell r="Q260">
            <v>0</v>
          </cell>
        </row>
        <row r="261">
          <cell r="B261" t="str">
            <v>E3930001</v>
          </cell>
          <cell r="C261" t="str">
            <v>STORES EQUIPMENT</v>
          </cell>
          <cell r="K261">
            <v>0</v>
          </cell>
          <cell r="L261">
            <v>0</v>
          </cell>
          <cell r="M261">
            <v>0</v>
          </cell>
          <cell r="Q261">
            <v>0</v>
          </cell>
        </row>
        <row r="262">
          <cell r="B262" t="str">
            <v>E3940001</v>
          </cell>
          <cell r="C262" t="str">
            <v>TOOLS, SHOP, GARAGE EQUIPMENT</v>
          </cell>
          <cell r="K262">
            <v>0</v>
          </cell>
          <cell r="L262">
            <v>0</v>
          </cell>
          <cell r="M262">
            <v>0</v>
          </cell>
          <cell r="Q262">
            <v>0</v>
          </cell>
        </row>
        <row r="263">
          <cell r="B263" t="str">
            <v>E3950001</v>
          </cell>
          <cell r="C263" t="str">
            <v>LABORATORY EQUIPMENT</v>
          </cell>
          <cell r="K263">
            <v>0</v>
          </cell>
          <cell r="L263">
            <v>0</v>
          </cell>
          <cell r="M263">
            <v>0</v>
          </cell>
          <cell r="Q263">
            <v>0</v>
          </cell>
        </row>
        <row r="264">
          <cell r="B264" t="str">
            <v>E3960001</v>
          </cell>
          <cell r="C264" t="str">
            <v>POWER OPERATED EQUIPMENT</v>
          </cell>
          <cell r="K264">
            <v>0</v>
          </cell>
          <cell r="L264">
            <v>0</v>
          </cell>
          <cell r="M264">
            <v>0</v>
          </cell>
          <cell r="Q264">
            <v>0</v>
          </cell>
        </row>
        <row r="265">
          <cell r="B265" t="str">
            <v>E3970001</v>
          </cell>
          <cell r="C265" t="str">
            <v>COMMUNICATION EQUIPMENT</v>
          </cell>
          <cell r="K265">
            <v>0</v>
          </cell>
          <cell r="L265">
            <v>0</v>
          </cell>
          <cell r="M265">
            <v>0</v>
          </cell>
          <cell r="Q265">
            <v>0</v>
          </cell>
        </row>
        <row r="266">
          <cell r="B266" t="str">
            <v>E3980001</v>
          </cell>
          <cell r="C266" t="str">
            <v>MISCELLANEOUS EQUIPMENT</v>
          </cell>
          <cell r="J266">
            <v>0</v>
          </cell>
          <cell r="K266">
            <v>0</v>
          </cell>
          <cell r="L266">
            <v>0</v>
          </cell>
          <cell r="M266">
            <v>0</v>
          </cell>
          <cell r="Q266">
            <v>0</v>
          </cell>
        </row>
        <row r="280">
          <cell r="B280" t="str">
            <v>C3903001</v>
          </cell>
          <cell r="C280" t="str">
            <v>IMPROVEMENTS OTHER T</v>
          </cell>
          <cell r="Q280">
            <v>0</v>
          </cell>
        </row>
        <row r="281">
          <cell r="B281" t="str">
            <v>C3911001</v>
          </cell>
          <cell r="C281" t="str">
            <v>OFFICE FURNITURE</v>
          </cell>
          <cell r="Q281">
            <v>0</v>
          </cell>
        </row>
        <row r="282">
          <cell r="B282" t="str">
            <v>C3912001</v>
          </cell>
          <cell r="C282" t="str">
            <v>OFFICE EQUIPMENT</v>
          </cell>
          <cell r="Q282">
            <v>0</v>
          </cell>
        </row>
        <row r="283">
          <cell r="B283" t="str">
            <v>C3913001</v>
          </cell>
          <cell r="C283" t="str">
            <v>OFFICE COMPUTER EQUIPMENT</v>
          </cell>
          <cell r="Q283">
            <v>0</v>
          </cell>
        </row>
        <row r="284">
          <cell r="B284" t="str">
            <v>C3921101</v>
          </cell>
          <cell r="C284" t="str">
            <v>TRANSPORT EQUIPMENT</v>
          </cell>
          <cell r="Q284">
            <v>0</v>
          </cell>
        </row>
        <row r="285">
          <cell r="B285" t="str">
            <v>C3922001</v>
          </cell>
          <cell r="C285" t="str">
            <v>TRANSPORT EQUIPMENT</v>
          </cell>
          <cell r="Q285">
            <v>0</v>
          </cell>
        </row>
        <row r="286">
          <cell r="B286" t="str">
            <v>C3930001</v>
          </cell>
          <cell r="C286" t="str">
            <v>STORES EQUIPMENT</v>
          </cell>
          <cell r="Q286">
            <v>0</v>
          </cell>
        </row>
        <row r="287">
          <cell r="B287" t="str">
            <v>C3940001</v>
          </cell>
          <cell r="C287" t="str">
            <v>TOOLS, SHOP AND GAR</v>
          </cell>
          <cell r="Q287">
            <v>0</v>
          </cell>
        </row>
        <row r="288">
          <cell r="B288" t="str">
            <v>C3950001</v>
          </cell>
          <cell r="C288" t="str">
            <v>LABORATORY EQUIPMENT</v>
          </cell>
          <cell r="Q288">
            <v>0</v>
          </cell>
        </row>
        <row r="289">
          <cell r="B289" t="str">
            <v>C3970001</v>
          </cell>
          <cell r="C289" t="str">
            <v>COMMUNICATION EQUIPMENT</v>
          </cell>
          <cell r="Q289">
            <v>0</v>
          </cell>
        </row>
        <row r="290">
          <cell r="B290" t="str">
            <v>C3980001</v>
          </cell>
          <cell r="C290" t="str">
            <v>MISCELLANEOUS EQUIPMENT</v>
          </cell>
          <cell r="Q290">
            <v>0</v>
          </cell>
        </row>
        <row r="291">
          <cell r="C291" t="str">
            <v>Transmission Common Plant</v>
          </cell>
          <cell r="E291">
            <v>0</v>
          </cell>
          <cell r="F291">
            <v>0</v>
          </cell>
          <cell r="G291">
            <v>0</v>
          </cell>
          <cell r="H291">
            <v>0</v>
          </cell>
          <cell r="I291">
            <v>0</v>
          </cell>
          <cell r="J291">
            <v>0</v>
          </cell>
          <cell r="K291">
            <v>0</v>
          </cell>
          <cell r="L291">
            <v>0</v>
          </cell>
          <cell r="M291">
            <v>0</v>
          </cell>
          <cell r="N291">
            <v>0</v>
          </cell>
          <cell r="O291">
            <v>0</v>
          </cell>
          <cell r="P291">
            <v>0</v>
          </cell>
          <cell r="Q291">
            <v>0</v>
          </cell>
        </row>
        <row r="293">
          <cell r="B293" t="str">
            <v>E3501001</v>
          </cell>
          <cell r="C293" t="str">
            <v>LAND AND LAND RIGHTS</v>
          </cell>
          <cell r="Q293">
            <v>0</v>
          </cell>
        </row>
        <row r="294">
          <cell r="B294" t="str">
            <v>E3502001</v>
          </cell>
          <cell r="C294" t="str">
            <v>LIMITED TERM LAND</v>
          </cell>
        </row>
        <row r="295">
          <cell r="B295" t="str">
            <v>E3503001</v>
          </cell>
          <cell r="C295" t="str">
            <v>SIDEWALKS &amp; CURBS</v>
          </cell>
          <cell r="Q295">
            <v>0</v>
          </cell>
        </row>
        <row r="296">
          <cell r="B296" t="str">
            <v>E3520001</v>
          </cell>
          <cell r="C296" t="str">
            <v>STRUCTURES &amp; IMPROVEMENTS</v>
          </cell>
          <cell r="Q296">
            <v>0</v>
          </cell>
        </row>
        <row r="297">
          <cell r="B297" t="str">
            <v>E3531001</v>
          </cell>
          <cell r="C297" t="str">
            <v>STATION EQUIPMENT (OTHER THAN YARDS</v>
          </cell>
          <cell r="Q297">
            <v>0</v>
          </cell>
        </row>
        <row r="298">
          <cell r="B298" t="str">
            <v>E3532001</v>
          </cell>
          <cell r="C298" t="str">
            <v>STATION EQUIPMENT (YARDS CREEK)</v>
          </cell>
          <cell r="Q298">
            <v>0</v>
          </cell>
        </row>
        <row r="299">
          <cell r="B299" t="str">
            <v>E3540001</v>
          </cell>
          <cell r="C299" t="str">
            <v>TOWERS AND FIXTURES - 138, 230 RO 34</v>
          </cell>
          <cell r="Q299">
            <v>0</v>
          </cell>
        </row>
        <row r="300">
          <cell r="B300" t="str">
            <v>E3541001</v>
          </cell>
          <cell r="C300" t="str">
            <v>TOWERS AND FIXTURES - TOWER FOUNDATION</v>
          </cell>
          <cell r="Q300">
            <v>0</v>
          </cell>
        </row>
        <row r="301">
          <cell r="B301" t="str">
            <v>E3542001</v>
          </cell>
          <cell r="C301" t="str">
            <v>TOWERS AND FIXTURES - TOWERS</v>
          </cell>
          <cell r="Q301">
            <v>0</v>
          </cell>
        </row>
        <row r="302">
          <cell r="B302" t="str">
            <v>E3551001</v>
          </cell>
          <cell r="C302" t="str">
            <v>POLES</v>
          </cell>
          <cell r="Q302">
            <v>0</v>
          </cell>
        </row>
        <row r="303">
          <cell r="B303" t="str">
            <v>E3552001</v>
          </cell>
          <cell r="C303" t="str">
            <v>POLE FIXTURES</v>
          </cell>
          <cell r="Q303">
            <v>0</v>
          </cell>
        </row>
        <row r="304">
          <cell r="B304" t="str">
            <v>E3560001</v>
          </cell>
          <cell r="C304" t="str">
            <v>OVERHEAD CONDUCTORS AND DEVICES</v>
          </cell>
          <cell r="Q304">
            <v>0</v>
          </cell>
        </row>
        <row r="305">
          <cell r="B305" t="str">
            <v>E3570001</v>
          </cell>
          <cell r="C305" t="str">
            <v>UNDERGROUND CONDUIT</v>
          </cell>
          <cell r="Q305">
            <v>0</v>
          </cell>
        </row>
        <row r="306">
          <cell r="B306" t="str">
            <v>E3580001</v>
          </cell>
          <cell r="C306" t="str">
            <v>UNDERGROUND CONDUCTORS AND DEVICES</v>
          </cell>
          <cell r="Q306">
            <v>0</v>
          </cell>
        </row>
        <row r="307">
          <cell r="B307" t="str">
            <v>E3588001</v>
          </cell>
          <cell r="C307" t="str">
            <v>UNDERGROUND CONDUCTORS AND DEVICES</v>
          </cell>
          <cell r="Q307">
            <v>0</v>
          </cell>
        </row>
        <row r="308">
          <cell r="B308" t="str">
            <v>E3590001</v>
          </cell>
          <cell r="C308" t="str">
            <v>ROADS AND TRAILS</v>
          </cell>
          <cell r="Q308">
            <v>0</v>
          </cell>
        </row>
        <row r="309">
          <cell r="C309" t="str">
            <v>Transmission Plant</v>
          </cell>
          <cell r="E309">
            <v>0</v>
          </cell>
          <cell r="F309">
            <v>0</v>
          </cell>
          <cell r="G309">
            <v>0</v>
          </cell>
          <cell r="H309">
            <v>0</v>
          </cell>
          <cell r="I309">
            <v>0</v>
          </cell>
          <cell r="J309">
            <v>0</v>
          </cell>
          <cell r="K309">
            <v>0</v>
          </cell>
          <cell r="L309">
            <v>0</v>
          </cell>
          <cell r="M309">
            <v>0</v>
          </cell>
          <cell r="N309">
            <v>0</v>
          </cell>
          <cell r="O309">
            <v>0</v>
          </cell>
          <cell r="P309">
            <v>0</v>
          </cell>
          <cell r="Q309">
            <v>0</v>
          </cell>
        </row>
        <row r="311">
          <cell r="B311" t="str">
            <v>E3891001</v>
          </cell>
          <cell r="C311" t="str">
            <v>LAND AND LAND RIGHTS</v>
          </cell>
          <cell r="Q311">
            <v>0</v>
          </cell>
        </row>
        <row r="312">
          <cell r="B312" t="str">
            <v>E3900001</v>
          </cell>
          <cell r="C312" t="str">
            <v>STRUCTURES AND IMPROVEMENTS</v>
          </cell>
          <cell r="Q312">
            <v>0</v>
          </cell>
        </row>
        <row r="313">
          <cell r="B313" t="str">
            <v>E3901001</v>
          </cell>
          <cell r="C313" t="str">
            <v>PARK PLAZA IMPROVEMENTS</v>
          </cell>
          <cell r="Q313">
            <v>0</v>
          </cell>
        </row>
        <row r="314">
          <cell r="B314" t="str">
            <v>E3911001</v>
          </cell>
          <cell r="C314" t="str">
            <v>FURNITURE EQUIPMENT</v>
          </cell>
          <cell r="Q314">
            <v>0</v>
          </cell>
        </row>
        <row r="315">
          <cell r="B315" t="str">
            <v>E3912001</v>
          </cell>
          <cell r="C315" t="str">
            <v>OFFICE EQUIPMENT</v>
          </cell>
          <cell r="Q315">
            <v>0</v>
          </cell>
        </row>
        <row r="316">
          <cell r="B316" t="str">
            <v>E3913101</v>
          </cell>
          <cell r="C316" t="str">
            <v>COMPUTER EQUIPMENT</v>
          </cell>
          <cell r="Q316">
            <v>0</v>
          </cell>
        </row>
        <row r="317">
          <cell r="B317" t="str">
            <v>E3913301</v>
          </cell>
          <cell r="C317" t="str">
            <v>COMPUTER</v>
          </cell>
          <cell r="Q317">
            <v>0</v>
          </cell>
        </row>
        <row r="318">
          <cell r="B318" t="str">
            <v>E3921001</v>
          </cell>
          <cell r="C318" t="str">
            <v>TRANSPORTATION EQUIPMENT 13K lb</v>
          </cell>
          <cell r="Q318">
            <v>0</v>
          </cell>
        </row>
        <row r="319">
          <cell r="B319" t="str">
            <v>E3922001</v>
          </cell>
          <cell r="C319" t="str">
            <v>TRANSPORTATION EQUIPMENT over 13K lb</v>
          </cell>
          <cell r="Q319">
            <v>0</v>
          </cell>
        </row>
        <row r="320">
          <cell r="B320" t="str">
            <v>E3923001</v>
          </cell>
          <cell r="C320" t="str">
            <v>HELICOPTERS</v>
          </cell>
          <cell r="Q320">
            <v>0</v>
          </cell>
        </row>
        <row r="321">
          <cell r="B321" t="str">
            <v>E3930001</v>
          </cell>
          <cell r="C321" t="str">
            <v>STORES EQUIPMENT</v>
          </cell>
          <cell r="Q321">
            <v>0</v>
          </cell>
        </row>
        <row r="322">
          <cell r="B322" t="str">
            <v>E3940001</v>
          </cell>
          <cell r="C322" t="str">
            <v>TOOLS, SHOP, GARAGE EQUIPMENT</v>
          </cell>
          <cell r="Q322">
            <v>0</v>
          </cell>
        </row>
        <row r="323">
          <cell r="B323" t="str">
            <v>E3950001</v>
          </cell>
          <cell r="C323" t="str">
            <v>LABORATORY EQUIPMENT</v>
          </cell>
          <cell r="Q323">
            <v>0</v>
          </cell>
        </row>
        <row r="324">
          <cell r="B324" t="str">
            <v>E3960001</v>
          </cell>
          <cell r="C324" t="str">
            <v>POWER OPERATED EQUIPMENT</v>
          </cell>
          <cell r="Q324">
            <v>0</v>
          </cell>
        </row>
        <row r="325">
          <cell r="B325" t="str">
            <v>E3970001</v>
          </cell>
          <cell r="C325" t="str">
            <v>COMMUNICATION EQUIPMENT</v>
          </cell>
          <cell r="Q325">
            <v>0</v>
          </cell>
        </row>
        <row r="326">
          <cell r="B326" t="str">
            <v>E3980001</v>
          </cell>
          <cell r="C326" t="str">
            <v>MISCELLANEOUS EQUIPMENT</v>
          </cell>
          <cell r="Q32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ow r="418">
          <cell r="K418">
            <v>36553316.289999999</v>
          </cell>
        </row>
      </sheetData>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rnado"/>
      <sheetName val="Data"/>
    </sheetNames>
    <sheetDataSet>
      <sheetData sheetId="0" refreshError="1"/>
      <sheetData sheetId="1" refreshError="1">
        <row r="18">
          <cell r="B18">
            <v>2006.02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ervice Projects"/>
      <sheetName val="Transmission Project Summary"/>
      <sheetName val="All Plant"/>
      <sheetName val="Taxes"/>
      <sheetName val="O&amp;M"/>
      <sheetName val="Capitalization"/>
      <sheetName val="Pension"/>
    </sheetNames>
    <sheetDataSet>
      <sheetData sheetId="0"/>
      <sheetData sheetId="1">
        <row r="5">
          <cell r="AY5">
            <v>2.2069837310252503E-2</v>
          </cell>
        </row>
      </sheetData>
      <sheetData sheetId="2">
        <row r="11">
          <cell r="C11">
            <v>553624258.50999999</v>
          </cell>
        </row>
      </sheetData>
      <sheetData sheetId="3">
        <row r="3">
          <cell r="E3">
            <v>17885103.838067949</v>
          </cell>
        </row>
      </sheetData>
      <sheetData sheetId="4">
        <row r="2">
          <cell r="C2">
            <v>72440822.300697654</v>
          </cell>
        </row>
      </sheetData>
      <sheetData sheetId="5">
        <row r="3">
          <cell r="E3">
            <v>24042459.43609941</v>
          </cell>
        </row>
        <row r="10">
          <cell r="E10">
            <v>0</v>
          </cell>
        </row>
      </sheetData>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 Plant"/>
      <sheetName val="Trans Proj Sum NEW"/>
      <sheetName val="Taxes"/>
      <sheetName val="O&amp;M - do not update"/>
      <sheetName val="Capitalization"/>
      <sheetName val="Pension - do not update"/>
      <sheetName val="107 WOTB 12-22 Trans"/>
      <sheetName val="C55 2023 Rd 2 Trans"/>
      <sheetName val="Transmission Project Sum OLD"/>
    </sheetNames>
    <sheetDataSet>
      <sheetData sheetId="0"/>
      <sheetData sheetId="1">
        <row r="3">
          <cell r="M3">
            <v>168590768.44617003</v>
          </cell>
        </row>
        <row r="28">
          <cell r="CG28">
            <v>1763485.9519499999</v>
          </cell>
          <cell r="CH28">
            <v>1854385.9519499999</v>
          </cell>
          <cell r="CI28">
            <v>1945285.9519499999</v>
          </cell>
          <cell r="CJ28">
            <v>2036185.9519499999</v>
          </cell>
          <cell r="CK28">
            <v>2127085.9519500001</v>
          </cell>
          <cell r="CL28">
            <v>2217985.9519500001</v>
          </cell>
          <cell r="CM28">
            <v>2308885.9519500001</v>
          </cell>
          <cell r="CN28">
            <v>2399785.9519500001</v>
          </cell>
          <cell r="CO28">
            <v>2490685.9519500001</v>
          </cell>
          <cell r="CP28">
            <v>2581585.9519500001</v>
          </cell>
          <cell r="CQ28">
            <v>2672485.9519500001</v>
          </cell>
          <cell r="CR28">
            <v>2763385.9519500001</v>
          </cell>
        </row>
        <row r="171">
          <cell r="CG171">
            <v>51899.340000000004</v>
          </cell>
          <cell r="CH171">
            <v>119695.59</v>
          </cell>
          <cell r="CI171">
            <v>187491.83999999997</v>
          </cell>
          <cell r="CK171">
            <v>323084.33999999997</v>
          </cell>
          <cell r="CL171">
            <v>390880.58999999997</v>
          </cell>
          <cell r="CM171">
            <v>458676.83999999997</v>
          </cell>
          <cell r="CN171">
            <v>526473.09</v>
          </cell>
          <cell r="CO171">
            <v>594269.33999999985</v>
          </cell>
          <cell r="CP171">
            <v>662065.58999999985</v>
          </cell>
          <cell r="CQ171">
            <v>729861.83999999985</v>
          </cell>
          <cell r="CR171">
            <v>797658.08999999985</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proj AIS ForecastInput Sheet"/>
      <sheetName val="Work Plan"/>
      <sheetName val="YE Forecast Summary CWIP BAL"/>
      <sheetName val="Highlights Report"/>
      <sheetName val="AFUDC Indicator"/>
      <sheetName val="AFUDC Indicator (2)"/>
      <sheetName val="AFUDC &amp; Interest"/>
      <sheetName val="EDP&amp;L  Mgt View"/>
      <sheetName val="2013 Business Plan"/>
      <sheetName val="by proj AIS ForecastInput S (2)"/>
      <sheetName val="YE Forecast Summary"/>
      <sheetName val="CostData"/>
      <sheetName val="Cost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le Parties"/>
      <sheetName val="Customer Operations"/>
      <sheetName val="YTD PIP Status"/>
      <sheetName val="Definitions &amp; Accountability"/>
      <sheetName val="PIP Forecast"/>
      <sheetName val="2009 History"/>
      <sheetName val="2010 Monthly Targets"/>
      <sheetName val="2010_CO_ScoreCard"/>
    </sheetNames>
    <sheetDataSet>
      <sheetData sheetId="0" refreshError="1"/>
      <sheetData sheetId="1" refreshError="1">
        <row r="8">
          <cell r="A8" t="str">
            <v>OSHA Days Away Rate (Severity)</v>
          </cell>
          <cell r="P8" t="str">
            <v>OSHA Recordable Incidence Rate</v>
          </cell>
          <cell r="Q8" t="str">
            <v>L</v>
          </cell>
          <cell r="R8">
            <v>0</v>
          </cell>
          <cell r="S8">
            <v>1.1499999999999999</v>
          </cell>
          <cell r="T8" t="str">
            <v>+</v>
          </cell>
          <cell r="U8">
            <v>0.79</v>
          </cell>
          <cell r="V8">
            <v>0</v>
          </cell>
          <cell r="W8">
            <v>2.35</v>
          </cell>
          <cell r="X8">
            <v>0</v>
          </cell>
          <cell r="Y8">
            <v>0</v>
          </cell>
          <cell r="Z8">
            <v>0</v>
          </cell>
          <cell r="AA8">
            <v>0</v>
          </cell>
          <cell r="AB8">
            <v>0</v>
          </cell>
          <cell r="AC8">
            <v>0</v>
          </cell>
        </row>
        <row r="9">
          <cell r="P9" t="str">
            <v>OSHA Days Away Rate (Severity)</v>
          </cell>
          <cell r="Q9" t="str">
            <v>L</v>
          </cell>
          <cell r="R9">
            <v>0</v>
          </cell>
          <cell r="S9">
            <v>1.61</v>
          </cell>
          <cell r="T9" t="str">
            <v>-</v>
          </cell>
          <cell r="U9">
            <v>11.84</v>
          </cell>
          <cell r="V9">
            <v>0</v>
          </cell>
          <cell r="W9">
            <v>35.31</v>
          </cell>
          <cell r="X9">
            <v>0</v>
          </cell>
          <cell r="Y9">
            <v>0</v>
          </cell>
          <cell r="Z9">
            <v>0</v>
          </cell>
          <cell r="AA9">
            <v>0</v>
          </cell>
          <cell r="AB9">
            <v>0</v>
          </cell>
          <cell r="AC9">
            <v>0</v>
          </cell>
        </row>
        <row r="10">
          <cell r="P10" t="str">
            <v>Motor Vehicle Accident Rate</v>
          </cell>
          <cell r="Q10" t="str">
            <v>L</v>
          </cell>
          <cell r="R10">
            <v>0</v>
          </cell>
          <cell r="S10">
            <v>3.21</v>
          </cell>
          <cell r="T10" t="str">
            <v>-</v>
          </cell>
          <cell r="U10">
            <v>10.02</v>
          </cell>
          <cell r="V10">
            <v>0</v>
          </cell>
          <cell r="W10">
            <v>12.8</v>
          </cell>
          <cell r="X10">
            <v>0</v>
          </cell>
          <cell r="Y10">
            <v>0</v>
          </cell>
          <cell r="Z10">
            <v>0</v>
          </cell>
          <cell r="AA10">
            <v>0</v>
          </cell>
          <cell r="AB10">
            <v>0</v>
          </cell>
          <cell r="AC10">
            <v>0</v>
          </cell>
        </row>
        <row r="11">
          <cell r="P11" t="str">
            <v>Availability - Illness</v>
          </cell>
          <cell r="Q11" t="str">
            <v>H</v>
          </cell>
          <cell r="R11">
            <v>0.96799999999999997</v>
          </cell>
          <cell r="S11">
            <v>0.97299999999999998</v>
          </cell>
          <cell r="T11" t="str">
            <v>-</v>
          </cell>
          <cell r="U11">
            <v>0.95599999999999996</v>
          </cell>
          <cell r="V11">
            <v>0.93799999999999994</v>
          </cell>
          <cell r="W11">
            <v>0.97899999999999998</v>
          </cell>
          <cell r="X11">
            <v>0.95699999999999996</v>
          </cell>
          <cell r="Y11">
            <v>0.91100000000000003</v>
          </cell>
          <cell r="Z11">
            <v>0.999</v>
          </cell>
          <cell r="AA11">
            <v>0.99199999999999999</v>
          </cell>
          <cell r="AB11">
            <v>1</v>
          </cell>
          <cell r="AC11">
            <v>0.96499999999999997</v>
          </cell>
        </row>
        <row r="12">
          <cell r="P12" t="str">
            <v>Staffing Levels - Permanent</v>
          </cell>
          <cell r="Q12" t="str">
            <v>L</v>
          </cell>
          <cell r="R12">
            <v>1607</v>
          </cell>
          <cell r="S12">
            <v>1489</v>
          </cell>
          <cell r="T12" t="str">
            <v>-</v>
          </cell>
          <cell r="U12">
            <v>1511</v>
          </cell>
          <cell r="V12">
            <v>463</v>
          </cell>
          <cell r="W12">
            <v>529</v>
          </cell>
          <cell r="X12">
            <v>204</v>
          </cell>
          <cell r="Y12">
            <v>188</v>
          </cell>
          <cell r="Z12">
            <v>52</v>
          </cell>
          <cell r="AA12">
            <v>31</v>
          </cell>
          <cell r="AB12">
            <v>11</v>
          </cell>
          <cell r="AC12">
            <v>33</v>
          </cell>
        </row>
        <row r="13">
          <cell r="P13" t="str">
            <v>Overtime</v>
          </cell>
          <cell r="Q13" t="str">
            <v>L</v>
          </cell>
          <cell r="R13">
            <v>9.8000000000000004E-2</v>
          </cell>
          <cell r="S13">
            <v>2.5999999999999999E-2</v>
          </cell>
          <cell r="T13" t="str">
            <v>-</v>
          </cell>
          <cell r="U13">
            <v>9.8000000000000004E-2</v>
          </cell>
          <cell r="V13">
            <v>0.17599999999999999</v>
          </cell>
          <cell r="W13">
            <v>2.5000000000000001E-2</v>
          </cell>
          <cell r="X13">
            <v>0.17499999999999999</v>
          </cell>
          <cell r="Y13">
            <v>0.06</v>
          </cell>
          <cell r="Z13">
            <v>7.0000000000000001E-3</v>
          </cell>
          <cell r="AA13">
            <v>3.4000000000000002E-2</v>
          </cell>
          <cell r="AB13">
            <v>0</v>
          </cell>
          <cell r="AC13">
            <v>1.4999999999999999E-2</v>
          </cell>
        </row>
        <row r="14">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P16" t="str">
            <v>Corporate Culture for Ethics and Compliance</v>
          </cell>
          <cell r="Q16" t="str">
            <v>H</v>
          </cell>
          <cell r="R16">
            <v>0.51</v>
          </cell>
          <cell r="S16">
            <v>0.62</v>
          </cell>
          <cell r="T16" t="str">
            <v>+</v>
          </cell>
          <cell r="U16">
            <v>0.65</v>
          </cell>
          <cell r="V16" t="str">
            <v>Billing &amp; Rev Ops</v>
          </cell>
          <cell r="W16" t="str">
            <v>iPower &amp; AMR</v>
          </cell>
          <cell r="X16" t="str">
            <v>LCS &amp; AD</v>
          </cell>
          <cell r="Y16" t="str">
            <v>UM</v>
          </cell>
          <cell r="Z16" t="str">
            <v>VP &amp; Support</v>
          </cell>
        </row>
        <row r="17">
          <cell r="P17">
            <v>0.86199999999999999</v>
          </cell>
          <cell r="Q17">
            <v>0.90300000000000002</v>
          </cell>
          <cell r="R17" t="str">
            <v>-</v>
          </cell>
          <cell r="S17">
            <v>0.85399999999999998</v>
          </cell>
          <cell r="U17">
            <v>0.85399999999999998</v>
          </cell>
        </row>
        <row r="18">
          <cell r="P18" t="str">
            <v>SAFE (reliable)</v>
          </cell>
          <cell r="Q18" t="str">
            <v>Customer Operations</v>
          </cell>
          <cell r="R18" t="str">
            <v>-</v>
          </cell>
          <cell r="S18">
            <v>0.745</v>
          </cell>
          <cell r="T18">
            <v>0.745</v>
          </cell>
        </row>
        <row r="19">
          <cell r="P19">
            <v>5.0999999999999997E-2</v>
          </cell>
          <cell r="Q19" t="str">
            <v>L/H</v>
          </cell>
          <cell r="R19" t="str">
            <v>November 08</v>
          </cell>
          <cell r="S19" t="str">
            <v>2009 Target</v>
          </cell>
          <cell r="T19" t="str">
            <v>Monthly / Quarterly Status</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Percent of Actual Meters Read</v>
          </cell>
          <cell r="B20" t="str">
            <v>H</v>
          </cell>
          <cell r="C20">
            <v>0.90100000000000002</v>
          </cell>
          <cell r="D20">
            <v>0.90100000000000002</v>
          </cell>
          <cell r="E20" t="str">
            <v>ê</v>
          </cell>
          <cell r="F20">
            <v>0.88400000000000001</v>
          </cell>
          <cell r="H20">
            <v>0.88400000000000001</v>
          </cell>
          <cell r="P20" t="str">
            <v>Percent of Actual Meters Read</v>
          </cell>
          <cell r="Q20" t="str">
            <v>H</v>
          </cell>
          <cell r="R20">
            <v>0.90300000000000002</v>
          </cell>
          <cell r="S20">
            <v>0.90100000000000002</v>
          </cell>
          <cell r="T20" t="str">
            <v>-</v>
          </cell>
          <cell r="U20">
            <v>0.89500000000000002</v>
          </cell>
          <cell r="W20">
            <v>0.89500000000000002</v>
          </cell>
        </row>
        <row r="21">
          <cell r="A21" t="str">
            <v>Meters Not Read &gt;7 Months (K)</v>
          </cell>
          <cell r="B21" t="str">
            <v>L</v>
          </cell>
          <cell r="C21">
            <v>63</v>
          </cell>
          <cell r="D21">
            <v>55.2</v>
          </cell>
          <cell r="E21" t="str">
            <v>é</v>
          </cell>
          <cell r="F21">
            <v>12185</v>
          </cell>
          <cell r="I21">
            <v>12185</v>
          </cell>
          <cell r="P21" t="str">
            <v>Meters Not Read &gt;7 Months (K)</v>
          </cell>
          <cell r="Q21" t="str">
            <v>L</v>
          </cell>
          <cell r="R21">
            <v>63</v>
          </cell>
          <cell r="S21">
            <v>55.2</v>
          </cell>
          <cell r="V21">
            <v>12094</v>
          </cell>
        </row>
        <row r="22">
          <cell r="A22" t="str">
            <v>MR Errors/10,000 Reads</v>
          </cell>
          <cell r="B22" t="str">
            <v>L</v>
          </cell>
          <cell r="C22">
            <v>4</v>
          </cell>
          <cell r="D22">
            <v>3.9</v>
          </cell>
          <cell r="E22" t="str">
            <v>é</v>
          </cell>
          <cell r="F22">
            <v>3.9</v>
          </cell>
          <cell r="H22">
            <v>3.9</v>
          </cell>
          <cell r="I22">
            <v>0.99680999999999997</v>
          </cell>
          <cell r="P22" t="str">
            <v>MR Errors/10,000 Reads</v>
          </cell>
          <cell r="Q22" t="str">
            <v>L</v>
          </cell>
          <cell r="R22">
            <v>2.7</v>
          </cell>
          <cell r="S22">
            <v>3.9</v>
          </cell>
          <cell r="T22" t="str">
            <v>-</v>
          </cell>
          <cell r="U22">
            <v>5.3</v>
          </cell>
          <cell r="V22">
            <v>0.99490000000000001</v>
          </cell>
          <cell r="W22">
            <v>5.3</v>
          </cell>
        </row>
        <row r="23">
          <cell r="A23" t="str">
            <v>Gen'l Inquiry Service Level (30 sec.)</v>
          </cell>
          <cell r="B23" t="str">
            <v>H</v>
          </cell>
          <cell r="C23">
            <v>0.76</v>
          </cell>
          <cell r="D23" t="str">
            <v>51.0% 2</v>
          </cell>
          <cell r="E23" t="str">
            <v>é</v>
          </cell>
          <cell r="F23">
            <v>0.61399999999999999</v>
          </cell>
          <cell r="G23">
            <v>0.61399999999999999</v>
          </cell>
          <cell r="P23" t="str">
            <v>Gen'l Inquiry Service Level (30 sec.)</v>
          </cell>
          <cell r="Q23" t="str">
            <v>H</v>
          </cell>
          <cell r="R23">
            <v>0.70199999999999996</v>
          </cell>
          <cell r="S23">
            <v>0.51</v>
          </cell>
          <cell r="T23" t="str">
            <v>+</v>
          </cell>
          <cell r="U23">
            <v>0.69499999999999995</v>
          </cell>
          <cell r="V23">
            <v>0.69499999999999995</v>
          </cell>
        </row>
        <row r="24">
          <cell r="A24" t="str">
            <v>Abandonment Rate - Inbound Collections</v>
          </cell>
          <cell r="B24" t="str">
            <v>L</v>
          </cell>
          <cell r="C24">
            <v>0.109</v>
          </cell>
          <cell r="D24">
            <v>0.109</v>
          </cell>
          <cell r="E24" t="str">
            <v>ê</v>
          </cell>
          <cell r="F24">
            <v>0.17100000000000001</v>
          </cell>
          <cell r="G24">
            <v>0.17100000000000001</v>
          </cell>
          <cell r="H24">
            <v>169</v>
          </cell>
          <cell r="I24">
            <v>695</v>
          </cell>
          <cell r="K24">
            <v>17</v>
          </cell>
          <cell r="P24" t="str">
            <v>Abandonment Rate - Inbound Collections</v>
          </cell>
          <cell r="Q24" t="str">
            <v>L</v>
          </cell>
          <cell r="R24">
            <v>0.09</v>
          </cell>
          <cell r="S24">
            <v>0.109</v>
          </cell>
          <cell r="T24" t="str">
            <v>-</v>
          </cell>
          <cell r="U24">
            <v>0.151</v>
          </cell>
          <cell r="V24">
            <v>0.151</v>
          </cell>
          <cell r="X24">
            <v>1</v>
          </cell>
        </row>
        <row r="25">
          <cell r="A25" t="str">
            <v>First Contact Resolution</v>
          </cell>
          <cell r="B25" t="str">
            <v>H</v>
          </cell>
          <cell r="C25" t="str">
            <v>n/a</v>
          </cell>
          <cell r="D25" t="str">
            <v>Tracking</v>
          </cell>
          <cell r="E25" t="str">
            <v>é</v>
          </cell>
          <cell r="F25">
            <v>76</v>
          </cell>
          <cell r="P25" t="str">
            <v>First Contact Resolution</v>
          </cell>
          <cell r="Q25" t="str">
            <v>H</v>
          </cell>
          <cell r="R25">
            <v>0.86</v>
          </cell>
          <cell r="S25" t="str">
            <v>Tracking</v>
          </cell>
        </row>
        <row r="26">
          <cell r="A26" t="str">
            <v>Accounts Converted to Bills and Printed (%)</v>
          </cell>
          <cell r="B26" t="str">
            <v>H</v>
          </cell>
          <cell r="C26">
            <v>0.98699999999999999</v>
          </cell>
          <cell r="D26">
            <v>0.98799999999999999</v>
          </cell>
          <cell r="E26" t="str">
            <v>é</v>
          </cell>
          <cell r="F26">
            <v>76</v>
          </cell>
          <cell r="P26" t="str">
            <v>Accounts Converted to Bills and Printed (%)</v>
          </cell>
          <cell r="Q26" t="str">
            <v>H</v>
          </cell>
          <cell r="R26">
            <v>0.99299999999999999</v>
          </cell>
          <cell r="S26">
            <v>0.98799999999999999</v>
          </cell>
        </row>
        <row r="27">
          <cell r="A27" t="str">
            <v>Billing Exception Time</v>
          </cell>
          <cell r="B27" t="str">
            <v>L</v>
          </cell>
          <cell r="C27">
            <v>3.8</v>
          </cell>
          <cell r="D27">
            <v>3.6</v>
          </cell>
          <cell r="E27" t="str">
            <v>é</v>
          </cell>
          <cell r="F27">
            <v>75</v>
          </cell>
          <cell r="P27" t="str">
            <v>Billing Exception Time</v>
          </cell>
          <cell r="Q27" t="str">
            <v>L</v>
          </cell>
          <cell r="R27">
            <v>2.7</v>
          </cell>
          <cell r="S27">
            <v>3.6</v>
          </cell>
        </row>
        <row r="28">
          <cell r="A28" t="str">
            <v>Payments Deposited within 1 Bus Day (%)</v>
          </cell>
          <cell r="B28" t="str">
            <v>H</v>
          </cell>
          <cell r="C28">
            <v>0.94699999999999995</v>
          </cell>
          <cell r="D28">
            <v>0.96499999999999997</v>
          </cell>
          <cell r="E28" t="str">
            <v>é</v>
          </cell>
          <cell r="F28">
            <v>0.98899999999999999</v>
          </cell>
          <cell r="G28">
            <v>8.3000000000000007</v>
          </cell>
          <cell r="I28">
            <v>0.98899999999999999</v>
          </cell>
          <cell r="P28" t="str">
            <v>Payments Deposited within 1 Bus Day (%)</v>
          </cell>
          <cell r="Q28" t="str">
            <v>H</v>
          </cell>
          <cell r="R28">
            <v>0.91200000000000003</v>
          </cell>
          <cell r="S28">
            <v>0.96499999999999997</v>
          </cell>
          <cell r="T28" t="str">
            <v>+</v>
          </cell>
          <cell r="U28">
            <v>1</v>
          </cell>
          <cell r="V28">
            <v>7.4</v>
          </cell>
          <cell r="X28">
            <v>1</v>
          </cell>
        </row>
        <row r="29">
          <cell r="A29" t="str">
            <v>Participation in Auto-Pay</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Cashier Errors</v>
          </cell>
          <cell r="B30" t="str">
            <v>L</v>
          </cell>
          <cell r="C30">
            <v>3.8</v>
          </cell>
          <cell r="D30">
            <v>3.7</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t="str">
            <v>Cashier Errors</v>
          </cell>
          <cell r="Q30" t="str">
            <v>L</v>
          </cell>
          <cell r="R30">
            <v>5.5</v>
          </cell>
          <cell r="S30">
            <v>3.7</v>
          </cell>
          <cell r="T30" t="str">
            <v>Cust Cont</v>
          </cell>
          <cell r="U30" t="str">
            <v>Dist Ops</v>
          </cell>
          <cell r="V30" t="str">
            <v>Billing &amp; Rev Ops</v>
          </cell>
          <cell r="W30" t="str">
            <v>iPower &amp; AMR</v>
          </cell>
          <cell r="X30" t="str">
            <v>LCS &amp; AD</v>
          </cell>
          <cell r="Y30" t="str">
            <v>UM</v>
          </cell>
          <cell r="Z30" t="str">
            <v>VP &amp; Support</v>
          </cell>
        </row>
        <row r="31">
          <cell r="A31" t="str">
            <v>BPU Inquiry Rate-Collection</v>
          </cell>
          <cell r="B31" t="str">
            <v>L</v>
          </cell>
          <cell r="C31">
            <v>1.27</v>
          </cell>
          <cell r="D31">
            <v>1.25</v>
          </cell>
          <cell r="E31" t="str">
            <v>ê</v>
          </cell>
          <cell r="F31">
            <v>1.84</v>
          </cell>
          <cell r="M31">
            <v>13</v>
          </cell>
          <cell r="P31" t="str">
            <v>BPU Inquiry Rate-Collection</v>
          </cell>
          <cell r="Q31" t="str">
            <v>L</v>
          </cell>
          <cell r="R31">
            <v>1.29</v>
          </cell>
          <cell r="S31">
            <v>1.25</v>
          </cell>
          <cell r="T31" t="str">
            <v>+</v>
          </cell>
          <cell r="U31">
            <v>0.99</v>
          </cell>
          <cell r="Z31">
            <v>3.34</v>
          </cell>
        </row>
        <row r="32">
          <cell r="A32" t="str">
            <v>BPU Inquiries - Non-Collection</v>
          </cell>
          <cell r="B32" t="str">
            <v>L</v>
          </cell>
          <cell r="C32">
            <v>839</v>
          </cell>
          <cell r="D32">
            <v>1038</v>
          </cell>
          <cell r="E32" t="str">
            <v>ê</v>
          </cell>
          <cell r="F32">
            <v>2193</v>
          </cell>
          <cell r="G32">
            <v>511</v>
          </cell>
          <cell r="H32">
            <v>324</v>
          </cell>
          <cell r="I32">
            <v>1310</v>
          </cell>
          <cell r="J32">
            <v>48</v>
          </cell>
          <cell r="K32">
            <v>6.18</v>
          </cell>
          <cell r="L32">
            <v>10.108000000000001</v>
          </cell>
          <cell r="M32">
            <v>77.900000000000006</v>
          </cell>
          <cell r="P32" t="str">
            <v>BPU Inquiries - Non-Collection</v>
          </cell>
          <cell r="Q32" t="str">
            <v>L</v>
          </cell>
          <cell r="R32">
            <v>57</v>
          </cell>
          <cell r="S32">
            <v>68.059025322466994</v>
          </cell>
          <cell r="T32" t="str">
            <v>-</v>
          </cell>
          <cell r="U32">
            <v>233</v>
          </cell>
          <cell r="V32">
            <v>24</v>
          </cell>
          <cell r="W32">
            <v>17</v>
          </cell>
          <cell r="X32">
            <v>186</v>
          </cell>
          <cell r="Y32">
            <v>6</v>
          </cell>
          <cell r="Z32">
            <v>4.8</v>
          </cell>
        </row>
        <row r="33">
          <cell r="A33" t="str">
            <v>Perception Survey (Res/Sm Business)</v>
          </cell>
          <cell r="B33" t="str">
            <v>H</v>
          </cell>
          <cell r="C33">
            <v>75</v>
          </cell>
          <cell r="D33">
            <v>76</v>
          </cell>
          <cell r="E33" t="str">
            <v>ê</v>
          </cell>
          <cell r="F33">
            <v>74</v>
          </cell>
          <cell r="I33">
            <v>1.46</v>
          </cell>
          <cell r="P33" t="str">
            <v>Perception Survey (Res/Sm Business)</v>
          </cell>
          <cell r="Q33" t="str">
            <v>H</v>
          </cell>
          <cell r="R33">
            <v>76</v>
          </cell>
          <cell r="S33">
            <v>76</v>
          </cell>
          <cell r="T33" t="str">
            <v>-</v>
          </cell>
          <cell r="U33">
            <v>73</v>
          </cell>
          <cell r="V33">
            <v>0.88</v>
          </cell>
        </row>
        <row r="34">
          <cell r="A34" t="str">
            <v>Perception Survey (Large Business)</v>
          </cell>
          <cell r="B34" t="str">
            <v>H</v>
          </cell>
          <cell r="C34">
            <v>76</v>
          </cell>
          <cell r="D34">
            <v>77</v>
          </cell>
          <cell r="E34" t="str">
            <v>ê</v>
          </cell>
          <cell r="F34">
            <v>75</v>
          </cell>
          <cell r="I34">
            <v>40.94</v>
          </cell>
          <cell r="P34" t="str">
            <v>Perception Survey (Large Business)</v>
          </cell>
          <cell r="Q34" t="str">
            <v>H</v>
          </cell>
          <cell r="R34">
            <v>74</v>
          </cell>
          <cell r="S34">
            <v>77</v>
          </cell>
          <cell r="T34" t="str">
            <v>-</v>
          </cell>
          <cell r="U34">
            <v>74</v>
          </cell>
          <cell r="V34">
            <v>36.46</v>
          </cell>
        </row>
        <row r="35">
          <cell r="A35" t="str">
            <v>Moment of Truth Survey</v>
          </cell>
          <cell r="B35" t="str">
            <v>H</v>
          </cell>
          <cell r="C35">
            <v>8.6999999999999993</v>
          </cell>
          <cell r="D35">
            <v>8.6999999999999993</v>
          </cell>
          <cell r="E35" t="str">
            <v>ê</v>
          </cell>
          <cell r="F35">
            <v>8.1999999999999993</v>
          </cell>
          <cell r="G35">
            <v>8.1</v>
          </cell>
          <cell r="I35">
            <v>0.20380000000000001</v>
          </cell>
          <cell r="J35">
            <v>8.5</v>
          </cell>
          <cell r="P35" t="str">
            <v>Moment of Truth Survey</v>
          </cell>
          <cell r="Q35" t="str">
            <v>H</v>
          </cell>
          <cell r="R35" t="str">
            <v>Quarterly</v>
          </cell>
          <cell r="S35">
            <v>8.6999999999999993</v>
          </cell>
          <cell r="U35" t="str">
            <v>Quarterly</v>
          </cell>
          <cell r="V35" t="str">
            <v>Qtrly</v>
          </cell>
          <cell r="Y35" t="str">
            <v>Qtrly</v>
          </cell>
        </row>
        <row r="36">
          <cell r="A36" t="str">
            <v>New Business Construction Survey-CO</v>
          </cell>
          <cell r="B36" t="str">
            <v>H</v>
          </cell>
          <cell r="C36">
            <v>8.3000000000000007</v>
          </cell>
          <cell r="D36">
            <v>8.4</v>
          </cell>
          <cell r="E36" t="str">
            <v>ê</v>
          </cell>
          <cell r="F36">
            <v>8.1</v>
          </cell>
          <cell r="G36">
            <v>8.1</v>
          </cell>
          <cell r="K36">
            <v>6.4329520000000002</v>
          </cell>
          <cell r="P36" t="str">
            <v>New Business Construction Survey-CO</v>
          </cell>
          <cell r="Q36" t="str">
            <v>H</v>
          </cell>
          <cell r="R36" t="str">
            <v>Quarterly</v>
          </cell>
          <cell r="S36">
            <v>8.4</v>
          </cell>
          <cell r="U36" t="str">
            <v>Quarterly</v>
          </cell>
          <cell r="V36" t="str">
            <v>Qtrly</v>
          </cell>
          <cell r="X36">
            <v>0.20849899999999999</v>
          </cell>
          <cell r="Y36" t="str">
            <v>Qtrly</v>
          </cell>
        </row>
        <row r="37">
          <cell r="A37" t="str">
            <v>Client Value Assessment</v>
          </cell>
          <cell r="B37" t="str">
            <v>H</v>
          </cell>
          <cell r="C37">
            <v>8.1000000000000003E-2</v>
          </cell>
          <cell r="D37">
            <v>8.4</v>
          </cell>
          <cell r="E37" t="str">
            <v>é</v>
          </cell>
          <cell r="F37">
            <v>8.9</v>
          </cell>
          <cell r="L37">
            <v>141.6</v>
          </cell>
          <cell r="M37">
            <v>8.9</v>
          </cell>
          <cell r="P37" t="str">
            <v>Client Value Assessment</v>
          </cell>
          <cell r="Q37" t="str">
            <v>H</v>
          </cell>
          <cell r="R37" t="str">
            <v>Semi-Annual</v>
          </cell>
          <cell r="S37">
            <v>8.4</v>
          </cell>
          <cell r="U37" t="str">
            <v>SemiAnnul</v>
          </cell>
          <cell r="Y37">
            <v>12.8</v>
          </cell>
          <cell r="AB37" t="str">
            <v>SemiAn</v>
          </cell>
        </row>
        <row r="38">
          <cell r="A38" t="str">
            <v>Constituent Satisfaction Index</v>
          </cell>
          <cell r="B38" t="str">
            <v>H</v>
          </cell>
          <cell r="C38">
            <v>7.2</v>
          </cell>
          <cell r="D38">
            <v>7.2</v>
          </cell>
          <cell r="E38" t="str">
            <v>é</v>
          </cell>
          <cell r="F38">
            <v>7.6</v>
          </cell>
          <cell r="J38">
            <v>7.4</v>
          </cell>
          <cell r="M38">
            <v>7.9</v>
          </cell>
          <cell r="P38" t="str">
            <v>Constituent Satisfaction Index</v>
          </cell>
          <cell r="Q38" t="str">
            <v>H</v>
          </cell>
          <cell r="R38">
            <v>7.2</v>
          </cell>
          <cell r="S38">
            <v>7.2</v>
          </cell>
          <cell r="T38" t="str">
            <v>+</v>
          </cell>
          <cell r="U38">
            <v>8.1999999999999993</v>
          </cell>
          <cell r="Y38">
            <v>8.1999999999999993</v>
          </cell>
          <cell r="AB38">
            <v>8.3000000000000007</v>
          </cell>
        </row>
        <row r="39">
          <cell r="A39" t="str">
            <v>SOX Test Failure</v>
          </cell>
          <cell r="B39" t="str">
            <v>L</v>
          </cell>
          <cell r="C39">
            <v>0</v>
          </cell>
          <cell r="D39">
            <v>2</v>
          </cell>
          <cell r="E39" t="str">
            <v>ê</v>
          </cell>
          <cell r="F39">
            <v>5</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2 Exluding first 10 Days after the iPower 'Go-Live'</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ECONOMIC</v>
          </cell>
          <cell r="B42" t="str">
            <v>Customer Operations</v>
          </cell>
          <cell r="C42">
            <v>0.221</v>
          </cell>
          <cell r="D42">
            <v>0.22</v>
          </cell>
          <cell r="E42" t="str">
            <v>é</v>
          </cell>
          <cell r="F42">
            <v>0.27800000000000002</v>
          </cell>
          <cell r="G42">
            <v>0.27800000000000002</v>
          </cell>
          <cell r="P42" t="str">
            <v>ECONOMIC</v>
          </cell>
          <cell r="Q42" t="str">
            <v>Customer Operations</v>
          </cell>
          <cell r="R42" t="str">
            <v>+</v>
          </cell>
          <cell r="S42">
            <v>0.29199999999999998</v>
          </cell>
          <cell r="T42">
            <v>0.29199999999999998</v>
          </cell>
        </row>
        <row r="43">
          <cell r="P43">
            <v>0.02</v>
          </cell>
          <cell r="Q43" t="str">
            <v>L/H</v>
          </cell>
          <cell r="R43" t="str">
            <v>November 08</v>
          </cell>
          <cell r="S43" t="str">
            <v>2009 Target</v>
          </cell>
          <cell r="T43" t="str">
            <v>Monthly / Quarterly Status</v>
          </cell>
          <cell r="U43" t="str">
            <v>Cust Ops</v>
          </cell>
          <cell r="V43" t="str">
            <v>Cust Cont</v>
          </cell>
          <cell r="W43" t="str">
            <v>Dist Ops</v>
          </cell>
          <cell r="X43" t="str">
            <v>Billing &amp; Rev Ops</v>
          </cell>
          <cell r="Y43" t="str">
            <v>Com Rel &amp; CSC</v>
          </cell>
          <cell r="Z43" t="str">
            <v>LCS &amp; AD</v>
          </cell>
          <cell r="AA43" t="str">
            <v>UM</v>
          </cell>
          <cell r="AB43" t="str">
            <v>RPA</v>
          </cell>
          <cell r="AC43" t="str">
            <v>VP &amp; Support</v>
          </cell>
        </row>
        <row r="44">
          <cell r="P44" t="str">
            <v>CapEx ($M)</v>
          </cell>
          <cell r="Q44" t="str">
            <v>L</v>
          </cell>
          <cell r="R44">
            <v>0.6</v>
          </cell>
          <cell r="S44">
            <v>0.83241392000000003</v>
          </cell>
          <cell r="T44" t="str">
            <v>+</v>
          </cell>
          <cell r="U44">
            <v>7.0000000000000007E-2</v>
          </cell>
          <cell r="X44">
            <v>9.4</v>
          </cell>
          <cell r="AC44">
            <v>7.0000000000000007E-2</v>
          </cell>
        </row>
        <row r="45">
          <cell r="P45" t="str">
            <v>iPower CapEx ($M)</v>
          </cell>
          <cell r="Q45" t="str">
            <v>L</v>
          </cell>
          <cell r="R45">
            <v>4.2</v>
          </cell>
          <cell r="S45">
            <v>0</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P55" t="str">
            <v>Contract Revenue ($M)</v>
          </cell>
          <cell r="Q55" t="str">
            <v>H</v>
          </cell>
          <cell r="R55">
            <v>6.9</v>
          </cell>
          <cell r="S55">
            <v>7.0078522185032197</v>
          </cell>
          <cell r="T55" t="str">
            <v>+</v>
          </cell>
          <cell r="U55">
            <v>7.5</v>
          </cell>
          <cell r="AA55">
            <v>7.5</v>
          </cell>
        </row>
        <row r="56">
          <cell r="P56" t="str">
            <v>AWH Revenue ($M)</v>
          </cell>
          <cell r="Q56" t="str">
            <v>H</v>
          </cell>
          <cell r="R56">
            <v>1.2</v>
          </cell>
          <cell r="S56">
            <v>1.267496</v>
          </cell>
          <cell r="T56" t="str">
            <v>+</v>
          </cell>
          <cell r="U56">
            <v>1.4</v>
          </cell>
          <cell r="AA56">
            <v>1.4</v>
          </cell>
        </row>
        <row r="57">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amp; Accountability"/>
      <sheetName val="Customer Operations"/>
      <sheetName val="PIP Forecast"/>
      <sheetName val="2009 History"/>
      <sheetName val="2010 Monthly Targets"/>
      <sheetName val="2010_CO_ScoreCard"/>
      <sheetName val="Responsible Parties"/>
      <sheetName val="YTD PIP Status"/>
    </sheetNames>
    <sheetDataSet>
      <sheetData sheetId="0"/>
      <sheetData sheetId="1" refreshError="1">
        <row r="8">
          <cell r="A8" t="str">
            <v>OSHA Days Away Rate (Severity)</v>
          </cell>
          <cell r="B8" t="str">
            <v>L</v>
          </cell>
          <cell r="C8">
            <v>19.309999999999999</v>
          </cell>
          <cell r="D8">
            <v>1.69</v>
          </cell>
          <cell r="E8" t="str">
            <v>ê</v>
          </cell>
          <cell r="F8">
            <v>9.93</v>
          </cell>
          <cell r="G8">
            <v>0</v>
          </cell>
          <cell r="H8">
            <v>27.81</v>
          </cell>
          <cell r="I8">
            <v>0</v>
          </cell>
          <cell r="J8">
            <v>0</v>
          </cell>
          <cell r="K8">
            <v>0</v>
          </cell>
          <cell r="L8">
            <v>0</v>
          </cell>
          <cell r="M8">
            <v>0</v>
          </cell>
          <cell r="P8">
            <v>0</v>
          </cell>
          <cell r="Q8">
            <v>1.69</v>
          </cell>
          <cell r="R8" t="str">
            <v>+</v>
          </cell>
          <cell r="S8">
            <v>0</v>
          </cell>
          <cell r="T8">
            <v>0</v>
          </cell>
          <cell r="U8">
            <v>0</v>
          </cell>
          <cell r="V8">
            <v>0</v>
          </cell>
          <cell r="W8">
            <v>0</v>
          </cell>
          <cell r="X8">
            <v>0</v>
          </cell>
          <cell r="Y8">
            <v>0</v>
          </cell>
          <cell r="Z8">
            <v>0</v>
          </cell>
          <cell r="AA8">
            <v>0</v>
          </cell>
          <cell r="AB8">
            <v>0</v>
          </cell>
          <cell r="AC8">
            <v>0</v>
          </cell>
        </row>
        <row r="9">
          <cell r="A9" t="str">
            <v>Motor Vehicle Accident Rate</v>
          </cell>
          <cell r="B9" t="str">
            <v>L</v>
          </cell>
          <cell r="C9">
            <v>5.24</v>
          </cell>
          <cell r="D9">
            <v>2.82</v>
          </cell>
          <cell r="E9" t="str">
            <v>ê</v>
          </cell>
          <cell r="F9">
            <v>3.74</v>
          </cell>
          <cell r="G9">
            <v>0</v>
          </cell>
          <cell r="H9">
            <v>4.57</v>
          </cell>
          <cell r="I9">
            <v>0</v>
          </cell>
          <cell r="J9">
            <v>0</v>
          </cell>
          <cell r="K9">
            <v>0</v>
          </cell>
          <cell r="L9">
            <v>0</v>
          </cell>
          <cell r="M9">
            <v>0</v>
          </cell>
          <cell r="P9">
            <v>2.56</v>
          </cell>
          <cell r="Q9">
            <v>2.82</v>
          </cell>
          <cell r="R9" t="str">
            <v>+</v>
          </cell>
          <cell r="S9">
            <v>0</v>
          </cell>
          <cell r="T9">
            <v>0</v>
          </cell>
          <cell r="U9">
            <v>0</v>
          </cell>
          <cell r="V9">
            <v>0</v>
          </cell>
          <cell r="W9">
            <v>0</v>
          </cell>
          <cell r="X9">
            <v>0</v>
          </cell>
          <cell r="Y9">
            <v>0</v>
          </cell>
          <cell r="Z9">
            <v>0</v>
          </cell>
          <cell r="AA9">
            <v>0</v>
          </cell>
          <cell r="AB9">
            <v>0</v>
          </cell>
          <cell r="AC9">
            <v>0</v>
          </cell>
        </row>
        <row r="10">
          <cell r="A10" t="str">
            <v>Availability - Illness</v>
          </cell>
          <cell r="B10" t="str">
            <v>H</v>
          </cell>
          <cell r="C10">
            <v>0.95599999999999996</v>
          </cell>
          <cell r="D10">
            <v>0.97299999999999998</v>
          </cell>
          <cell r="E10" t="str">
            <v>ê</v>
          </cell>
          <cell r="F10">
            <v>0.95799999999999996</v>
          </cell>
          <cell r="G10">
            <v>0.94299999999999995</v>
          </cell>
          <cell r="H10">
            <v>0.97399999999999998</v>
          </cell>
          <cell r="I10">
            <v>0.94799999999999995</v>
          </cell>
          <cell r="J10">
            <v>0.98099999999999998</v>
          </cell>
          <cell r="K10">
            <v>0.97199999999999998</v>
          </cell>
          <cell r="L10">
            <v>0.96899999999999997</v>
          </cell>
          <cell r="M10">
            <v>0.94099999999999995</v>
          </cell>
          <cell r="P10">
            <v>0.94899999999999995</v>
          </cell>
          <cell r="Q10">
            <v>0.97299999999999998</v>
          </cell>
          <cell r="R10" t="str">
            <v>-</v>
          </cell>
          <cell r="S10">
            <v>0.95499999999999996</v>
          </cell>
          <cell r="T10">
            <v>0.94399999999999995</v>
          </cell>
          <cell r="U10">
            <v>0.96899999999999997</v>
          </cell>
          <cell r="V10">
            <v>0.93600000000000005</v>
          </cell>
          <cell r="W10">
            <v>0.98599999999999999</v>
          </cell>
          <cell r="X10">
            <v>0.97399999999999998</v>
          </cell>
          <cell r="Y10">
            <v>0.99299999999999999</v>
          </cell>
          <cell r="Z10">
            <v>0.93799999999999994</v>
          </cell>
          <cell r="AA10">
            <v>0</v>
          </cell>
          <cell r="AB10">
            <v>0</v>
          </cell>
          <cell r="AC10">
            <v>0</v>
          </cell>
        </row>
        <row r="11">
          <cell r="A11" t="str">
            <v>Staffing Levels - Permanent</v>
          </cell>
          <cell r="B11" t="str">
            <v>L</v>
          </cell>
          <cell r="C11">
            <v>1512</v>
          </cell>
          <cell r="D11">
            <v>1459</v>
          </cell>
          <cell r="E11" t="str">
            <v>é</v>
          </cell>
          <cell r="F11">
            <v>1445</v>
          </cell>
          <cell r="G11">
            <v>409</v>
          </cell>
          <cell r="H11">
            <v>504</v>
          </cell>
          <cell r="I11">
            <v>371</v>
          </cell>
          <cell r="J11">
            <v>78</v>
          </cell>
          <cell r="K11">
            <v>58</v>
          </cell>
          <cell r="L11">
            <v>26</v>
          </cell>
          <cell r="M11">
            <v>10</v>
          </cell>
          <cell r="P11">
            <v>1512</v>
          </cell>
          <cell r="Q11">
            <v>1459</v>
          </cell>
          <cell r="R11" t="str">
            <v>+</v>
          </cell>
          <cell r="S11">
            <v>1456</v>
          </cell>
          <cell r="T11">
            <v>409</v>
          </cell>
          <cell r="U11">
            <v>504</v>
          </cell>
          <cell r="V11">
            <v>371</v>
          </cell>
          <cell r="W11">
            <v>78</v>
          </cell>
          <cell r="X11">
            <v>58</v>
          </cell>
          <cell r="Y11">
            <v>26</v>
          </cell>
          <cell r="Z11">
            <v>10</v>
          </cell>
          <cell r="AA11">
            <v>0.99199999999999999</v>
          </cell>
          <cell r="AB11">
            <v>1</v>
          </cell>
          <cell r="AC11">
            <v>0.96499999999999997</v>
          </cell>
        </row>
        <row r="12">
          <cell r="A12" t="str">
            <v>Overtime</v>
          </cell>
          <cell r="B12" t="str">
            <v>L</v>
          </cell>
          <cell r="C12">
            <v>0.11899999999999999</v>
          </cell>
          <cell r="D12">
            <v>0.04</v>
          </cell>
          <cell r="E12" t="str">
            <v>ê</v>
          </cell>
          <cell r="F12">
            <v>6.2E-2</v>
          </cell>
          <cell r="G12">
            <v>0.111</v>
          </cell>
          <cell r="H12">
            <v>4.5999999999999999E-2</v>
          </cell>
          <cell r="I12">
            <v>4.2000000000000003E-2</v>
          </cell>
          <cell r="J12">
            <v>3.5999999999999997E-2</v>
          </cell>
          <cell r="K12">
            <v>3.1E-2</v>
          </cell>
          <cell r="L12">
            <v>1.9E-2</v>
          </cell>
          <cell r="M12">
            <v>0</v>
          </cell>
          <cell r="P12">
            <v>9.2999999999999999E-2</v>
          </cell>
          <cell r="Q12">
            <v>0.04</v>
          </cell>
          <cell r="R12" t="str">
            <v>+</v>
          </cell>
          <cell r="S12">
            <v>3.4000000000000002E-2</v>
          </cell>
          <cell r="T12">
            <v>7.0000000000000007E-2</v>
          </cell>
          <cell r="U12">
            <v>8.0000000000000002E-3</v>
          </cell>
          <cell r="V12">
            <v>3.2000000000000001E-2</v>
          </cell>
          <cell r="W12">
            <v>2.1000000000000001E-2</v>
          </cell>
          <cell r="X12">
            <v>4.2000000000000003E-2</v>
          </cell>
          <cell r="Y12">
            <v>1.2E-2</v>
          </cell>
          <cell r="Z12">
            <v>0</v>
          </cell>
          <cell r="AA12">
            <v>31</v>
          </cell>
          <cell r="AB12">
            <v>11</v>
          </cell>
          <cell r="AC12">
            <v>33</v>
          </cell>
        </row>
        <row r="13">
          <cell r="A13" t="str">
            <v>Employee Development - MAST</v>
          </cell>
          <cell r="B13" t="str">
            <v>H</v>
          </cell>
          <cell r="C13">
            <v>0.98399999999999999</v>
          </cell>
          <cell r="D13">
            <v>0.97</v>
          </cell>
          <cell r="E13" t="str">
            <v>é</v>
          </cell>
          <cell r="F13">
            <v>0.99</v>
          </cell>
          <cell r="G13">
            <v>0.98399999999999999</v>
          </cell>
          <cell r="H13">
            <v>1</v>
          </cell>
          <cell r="I13">
            <v>0.996</v>
          </cell>
          <cell r="J13">
            <v>1</v>
          </cell>
          <cell r="K13">
            <v>0.96799999999999997</v>
          </cell>
          <cell r="L13">
            <v>1</v>
          </cell>
          <cell r="M13">
            <v>1</v>
          </cell>
          <cell r="P13">
            <v>0.98399999999999999</v>
          </cell>
          <cell r="Q13">
            <v>0.97</v>
          </cell>
          <cell r="R13" t="str">
            <v>+</v>
          </cell>
          <cell r="S13">
            <v>0.99</v>
          </cell>
          <cell r="T13">
            <v>0.98399999999999999</v>
          </cell>
          <cell r="U13">
            <v>1</v>
          </cell>
          <cell r="V13">
            <v>0.996</v>
          </cell>
          <cell r="W13">
            <v>1</v>
          </cell>
          <cell r="X13">
            <v>0.96799999999999997</v>
          </cell>
          <cell r="Y13">
            <v>1</v>
          </cell>
          <cell r="Z13">
            <v>1</v>
          </cell>
          <cell r="AA13">
            <v>3.4000000000000002E-2</v>
          </cell>
          <cell r="AB13">
            <v>0</v>
          </cell>
          <cell r="AC13">
            <v>1.4999999999999999E-2</v>
          </cell>
        </row>
        <row r="14">
          <cell r="A14" t="str">
            <v>Corporate Culture for Ethics and Compliance</v>
          </cell>
          <cell r="B14" t="str">
            <v>H</v>
          </cell>
          <cell r="C14" t="str">
            <v>NA</v>
          </cell>
          <cell r="D14">
            <v>5.57</v>
          </cell>
          <cell r="E14" t="str">
            <v>ê</v>
          </cell>
          <cell r="F14">
            <v>5.09</v>
          </cell>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A16" t="str">
            <v>SAFE (reliable)</v>
          </cell>
          <cell r="B16" t="str">
            <v>L/H</v>
          </cell>
          <cell r="C16" t="str">
            <v>Dec 09 YTD</v>
          </cell>
          <cell r="D16" t="str">
            <v>2010 Target</v>
          </cell>
          <cell r="E16" t="str">
            <v>YE Status</v>
          </cell>
          <cell r="F16" t="str">
            <v>Cust Ops</v>
          </cell>
          <cell r="G16" t="str">
            <v>Cust Cont</v>
          </cell>
          <cell r="H16" t="str">
            <v>Dist Ops</v>
          </cell>
          <cell r="I16" t="str">
            <v>Billing &amp; Rev Ops</v>
          </cell>
          <cell r="J16" t="str">
            <v>iPower &amp; AMR</v>
          </cell>
          <cell r="K16" t="str">
            <v>LCS &amp; AD</v>
          </cell>
          <cell r="L16" t="str">
            <v>UM</v>
          </cell>
          <cell r="M16" t="str">
            <v>VP &amp; Support</v>
          </cell>
          <cell r="P16">
            <v>40148</v>
          </cell>
          <cell r="Q16" t="str">
            <v>2010 Target</v>
          </cell>
          <cell r="R16" t="str">
            <v>Report Period Status</v>
          </cell>
          <cell r="S16" t="str">
            <v>Cust Ops</v>
          </cell>
          <cell r="T16" t="str">
            <v>Cust Cont</v>
          </cell>
          <cell r="U16" t="str">
            <v>Dist Ops</v>
          </cell>
          <cell r="V16" t="str">
            <v>Billing &amp; Rev Ops</v>
          </cell>
          <cell r="W16" t="str">
            <v>iPower &amp; AMR</v>
          </cell>
          <cell r="X16" t="str">
            <v>LCS &amp; AD</v>
          </cell>
          <cell r="Y16" t="str">
            <v>UM</v>
          </cell>
          <cell r="Z16" t="str">
            <v>VP &amp; Support</v>
          </cell>
        </row>
        <row r="17">
          <cell r="A17" t="str">
            <v>Percent of Actual Meters Read 1</v>
          </cell>
          <cell r="B17" t="str">
            <v>H</v>
          </cell>
          <cell r="C17">
            <v>0.88500000000000001</v>
          </cell>
          <cell r="D17">
            <v>0.90300000000000002</v>
          </cell>
          <cell r="E17" t="str">
            <v>ê</v>
          </cell>
          <cell r="F17">
            <v>0.88600000000000001</v>
          </cell>
          <cell r="H17">
            <v>0.88600000000000001</v>
          </cell>
          <cell r="P17">
            <v>0.86199999999999999</v>
          </cell>
          <cell r="Q17">
            <v>0.90300000000000002</v>
          </cell>
          <cell r="R17" t="str">
            <v>-</v>
          </cell>
          <cell r="S17">
            <v>0.85399999999999998</v>
          </cell>
          <cell r="U17">
            <v>0.85399999999999998</v>
          </cell>
        </row>
        <row r="18">
          <cell r="A18" t="str">
            <v>Gen'l Inquiry Service Level (30 sec.)</v>
          </cell>
          <cell r="B18" t="str">
            <v>H</v>
          </cell>
          <cell r="C18">
            <v>0.61699999999999999</v>
          </cell>
          <cell r="D18">
            <v>0.82199999999999995</v>
          </cell>
          <cell r="E18" t="str">
            <v>ê</v>
          </cell>
          <cell r="F18">
            <v>0.67200000000000004</v>
          </cell>
          <cell r="G18">
            <v>0.67200000000000004</v>
          </cell>
          <cell r="P18">
            <v>0.64100000000000001</v>
          </cell>
          <cell r="Q18">
            <v>0.82199999999999995</v>
          </cell>
          <cell r="R18" t="str">
            <v>-</v>
          </cell>
          <cell r="S18">
            <v>0.745</v>
          </cell>
          <cell r="T18">
            <v>0.745</v>
          </cell>
        </row>
        <row r="19">
          <cell r="A19" t="str">
            <v>General Inquiry Abandonment Rate</v>
          </cell>
          <cell r="B19" t="str">
            <v>L</v>
          </cell>
          <cell r="C19">
            <v>0.15</v>
          </cell>
          <cell r="D19">
            <v>0.05</v>
          </cell>
          <cell r="E19" t="str">
            <v>ê</v>
          </cell>
          <cell r="F19">
            <v>5.3999999999999999E-2</v>
          </cell>
          <cell r="G19">
            <v>5.3999999999999999E-2</v>
          </cell>
          <cell r="P19">
            <v>5.0999999999999997E-2</v>
          </cell>
          <cell r="Q19">
            <v>0.05</v>
          </cell>
          <cell r="R19" t="str">
            <v>+</v>
          </cell>
          <cell r="S19">
            <v>3.3000000000000002E-2</v>
          </cell>
          <cell r="T19">
            <v>3.3000000000000002E-2</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First Contact Resolution</v>
          </cell>
          <cell r="B20" t="str">
            <v>H</v>
          </cell>
          <cell r="C20" t="str">
            <v>NA</v>
          </cell>
          <cell r="D20" t="str">
            <v>Tracking</v>
          </cell>
          <cell r="E20" t="str">
            <v>ê</v>
          </cell>
          <cell r="F20">
            <v>0.88400000000000001</v>
          </cell>
          <cell r="H20">
            <v>0.88400000000000001</v>
          </cell>
          <cell r="P20" t="str">
            <v>NA</v>
          </cell>
          <cell r="Q20" t="str">
            <v>Tracking</v>
          </cell>
          <cell r="R20">
            <v>0.90300000000000002</v>
          </cell>
          <cell r="S20">
            <v>0.90100000000000002</v>
          </cell>
          <cell r="T20" t="str">
            <v>-</v>
          </cell>
          <cell r="U20">
            <v>0.89500000000000002</v>
          </cell>
          <cell r="W20">
            <v>0.89500000000000002</v>
          </cell>
        </row>
        <row r="21">
          <cell r="A21" t="str">
            <v>Average Daily Open Billing Exception Cases</v>
          </cell>
          <cell r="B21" t="str">
            <v>L</v>
          </cell>
          <cell r="C21">
            <v>52965</v>
          </cell>
          <cell r="D21">
            <v>18000</v>
          </cell>
          <cell r="E21" t="str">
            <v>é</v>
          </cell>
          <cell r="F21">
            <v>12185</v>
          </cell>
          <cell r="I21">
            <v>12185</v>
          </cell>
          <cell r="P21">
            <v>23241</v>
          </cell>
          <cell r="Q21">
            <v>18000</v>
          </cell>
          <cell r="R21" t="str">
            <v>+</v>
          </cell>
          <cell r="S21">
            <v>12094</v>
          </cell>
          <cell r="V21">
            <v>12094</v>
          </cell>
        </row>
        <row r="22">
          <cell r="A22" t="str">
            <v>Payments Deposited within 1 Bus Day (%)</v>
          </cell>
          <cell r="B22" t="str">
            <v>H</v>
          </cell>
          <cell r="C22">
            <v>0.99</v>
          </cell>
          <cell r="D22">
            <v>0.99099999999999999</v>
          </cell>
          <cell r="E22" t="str">
            <v>é</v>
          </cell>
          <cell r="F22">
            <v>0.99680999999999997</v>
          </cell>
          <cell r="H22">
            <v>3.9</v>
          </cell>
          <cell r="I22">
            <v>0.99680999999999997</v>
          </cell>
          <cell r="P22">
            <v>1</v>
          </cell>
          <cell r="Q22">
            <v>0.99099999999999999</v>
          </cell>
          <cell r="R22" t="str">
            <v>+</v>
          </cell>
          <cell r="S22">
            <v>0.99490000000000001</v>
          </cell>
          <cell r="T22" t="str">
            <v>-</v>
          </cell>
          <cell r="U22">
            <v>5.3</v>
          </cell>
          <cell r="V22">
            <v>0.99490000000000001</v>
          </cell>
          <cell r="W22">
            <v>5.3</v>
          </cell>
        </row>
        <row r="23">
          <cell r="A23" t="str">
            <v>BPU Inquiry Rate-Collection</v>
          </cell>
          <cell r="B23" t="str">
            <v>L</v>
          </cell>
          <cell r="C23">
            <v>1.78</v>
          </cell>
          <cell r="D23">
            <v>1.32</v>
          </cell>
          <cell r="E23" t="str">
            <v>é</v>
          </cell>
          <cell r="F23">
            <v>1.32</v>
          </cell>
          <cell r="G23">
            <v>0.61399999999999999</v>
          </cell>
          <cell r="P23">
            <v>1.37</v>
          </cell>
          <cell r="Q23">
            <v>1.6009932310984596</v>
          </cell>
          <cell r="R23" t="str">
            <v>+</v>
          </cell>
          <cell r="S23">
            <v>0.75</v>
          </cell>
          <cell r="T23" t="str">
            <v>+</v>
          </cell>
          <cell r="U23">
            <v>0.69499999999999995</v>
          </cell>
          <cell r="V23">
            <v>0.69499999999999995</v>
          </cell>
        </row>
        <row r="24">
          <cell r="A24" t="str">
            <v>BPU Inquiries - Non-Collection</v>
          </cell>
          <cell r="B24" t="str">
            <v>L</v>
          </cell>
          <cell r="C24">
            <v>2413</v>
          </cell>
          <cell r="D24">
            <v>1055</v>
          </cell>
          <cell r="E24" t="str">
            <v>ê</v>
          </cell>
          <cell r="F24">
            <v>1195</v>
          </cell>
          <cell r="G24">
            <v>314</v>
          </cell>
          <cell r="H24">
            <v>169</v>
          </cell>
          <cell r="I24">
            <v>695</v>
          </cell>
          <cell r="K24">
            <v>17</v>
          </cell>
          <cell r="P24">
            <v>220</v>
          </cell>
          <cell r="Q24">
            <v>53.226521220385209</v>
          </cell>
          <cell r="R24" t="str">
            <v>-</v>
          </cell>
          <cell r="S24">
            <v>87</v>
          </cell>
          <cell r="T24">
            <v>14</v>
          </cell>
          <cell r="U24">
            <v>8</v>
          </cell>
          <cell r="V24">
            <v>64</v>
          </cell>
          <cell r="X24">
            <v>1</v>
          </cell>
        </row>
        <row r="25">
          <cell r="A25" t="str">
            <v>Perception Survey (Residential)</v>
          </cell>
          <cell r="B25" t="str">
            <v>H</v>
          </cell>
          <cell r="C25">
            <v>74</v>
          </cell>
          <cell r="D25">
            <v>76</v>
          </cell>
          <cell r="E25" t="str">
            <v>é</v>
          </cell>
          <cell r="F25">
            <v>76</v>
          </cell>
          <cell r="P25">
            <v>73</v>
          </cell>
          <cell r="Q25">
            <v>76</v>
          </cell>
          <cell r="R25" t="str">
            <v>o</v>
          </cell>
          <cell r="S25">
            <v>76</v>
          </cell>
        </row>
        <row r="26">
          <cell r="A26" t="str">
            <v>Perception Survey (Small Business)</v>
          </cell>
          <cell r="B26" t="str">
            <v>H</v>
          </cell>
          <cell r="C26">
            <v>74</v>
          </cell>
          <cell r="D26">
            <v>76</v>
          </cell>
          <cell r="E26" t="str">
            <v>é</v>
          </cell>
          <cell r="F26">
            <v>76</v>
          </cell>
          <cell r="P26">
            <v>74</v>
          </cell>
          <cell r="Q26">
            <v>76</v>
          </cell>
          <cell r="R26" t="str">
            <v>+</v>
          </cell>
          <cell r="S26">
            <v>79</v>
          </cell>
        </row>
        <row r="27">
          <cell r="A27" t="str">
            <v>Perception Survey (Large Business)</v>
          </cell>
          <cell r="B27" t="str">
            <v>H</v>
          </cell>
          <cell r="C27">
            <v>76</v>
          </cell>
          <cell r="D27">
            <v>77</v>
          </cell>
          <cell r="E27" t="str">
            <v>ê</v>
          </cell>
          <cell r="F27">
            <v>75</v>
          </cell>
          <cell r="P27">
            <v>74</v>
          </cell>
          <cell r="Q27">
            <v>77</v>
          </cell>
          <cell r="R27" t="str">
            <v>-</v>
          </cell>
          <cell r="S27">
            <v>73</v>
          </cell>
        </row>
        <row r="28">
          <cell r="A28" t="str">
            <v>Moment of Truth Survey</v>
          </cell>
          <cell r="B28" t="str">
            <v>H</v>
          </cell>
          <cell r="C28">
            <v>8.1999999999999993</v>
          </cell>
          <cell r="D28">
            <v>8.6999999999999993</v>
          </cell>
          <cell r="E28" t="str">
            <v>ê</v>
          </cell>
          <cell r="F28">
            <v>8.1999999999999993</v>
          </cell>
          <cell r="G28">
            <v>8.3000000000000007</v>
          </cell>
          <cell r="I28">
            <v>8</v>
          </cell>
          <cell r="P28">
            <v>8.3000000000000007</v>
          </cell>
          <cell r="Q28">
            <v>8.6999999999999993</v>
          </cell>
          <cell r="R28" t="str">
            <v>-</v>
          </cell>
          <cell r="S28">
            <v>8</v>
          </cell>
          <cell r="T28">
            <v>8.1999999999999993</v>
          </cell>
          <cell r="U28">
            <v>1</v>
          </cell>
          <cell r="V28">
            <v>7.4</v>
          </cell>
          <cell r="X28">
            <v>1</v>
          </cell>
        </row>
        <row r="29">
          <cell r="A29" t="str">
            <v>1   All historical MR data has been updated to reflect data obtained from the P+4 Meter Reading System.</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ECONOMIC</v>
          </cell>
          <cell r="B30" t="str">
            <v>L/H</v>
          </cell>
          <cell r="C30" t="str">
            <v>Dec 09 YTD</v>
          </cell>
          <cell r="D30" t="str">
            <v>2010 Target</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v>40148</v>
          </cell>
          <cell r="Q30" t="str">
            <v>2010 Target</v>
          </cell>
          <cell r="R30" t="str">
            <v>Report Period Status</v>
          </cell>
          <cell r="S30" t="str">
            <v>Cust Ops</v>
          </cell>
          <cell r="T30" t="str">
            <v>Cust Cont</v>
          </cell>
          <cell r="U30" t="str">
            <v>Dist Ops</v>
          </cell>
          <cell r="V30" t="str">
            <v>Billing &amp; Rev Ops</v>
          </cell>
          <cell r="W30" t="str">
            <v>iPower &amp; AMR</v>
          </cell>
          <cell r="X30" t="str">
            <v>LCS &amp; AD</v>
          </cell>
          <cell r="Y30" t="str">
            <v>UM</v>
          </cell>
          <cell r="Z30" t="str">
            <v>VP &amp; Support</v>
          </cell>
        </row>
        <row r="31">
          <cell r="A31" t="str">
            <v>CapEx ($M)</v>
          </cell>
          <cell r="B31" t="str">
            <v>L</v>
          </cell>
          <cell r="C31">
            <v>33.101489000000001</v>
          </cell>
          <cell r="D31">
            <v>21.4</v>
          </cell>
          <cell r="E31" t="str">
            <v>é</v>
          </cell>
          <cell r="F31">
            <v>13</v>
          </cell>
          <cell r="M31">
            <v>13</v>
          </cell>
          <cell r="P31">
            <v>-4.1258489999999997</v>
          </cell>
          <cell r="Q31">
            <v>1.7696689999999999</v>
          </cell>
          <cell r="R31" t="str">
            <v>-</v>
          </cell>
          <cell r="S31">
            <v>3.34</v>
          </cell>
          <cell r="T31" t="str">
            <v>+</v>
          </cell>
          <cell r="U31">
            <v>0.99</v>
          </cell>
          <cell r="Z31">
            <v>3.34</v>
          </cell>
        </row>
        <row r="32">
          <cell r="A32" t="str">
            <v>Controllable O&amp;M ($M)</v>
          </cell>
          <cell r="B32" t="str">
            <v>L</v>
          </cell>
          <cell r="C32">
            <v>217</v>
          </cell>
          <cell r="D32">
            <v>228.5</v>
          </cell>
          <cell r="E32" t="str">
            <v>ê</v>
          </cell>
          <cell r="F32">
            <v>231.7</v>
          </cell>
          <cell r="G32">
            <v>37.762</v>
          </cell>
          <cell r="H32">
            <v>35.963999999999999</v>
          </cell>
          <cell r="I32">
            <v>47.612000000000002</v>
          </cell>
          <cell r="J32">
            <v>16.123999999999999</v>
          </cell>
          <cell r="K32">
            <v>6.18</v>
          </cell>
          <cell r="L32">
            <v>10.108000000000001</v>
          </cell>
          <cell r="M32">
            <v>77.900000000000006</v>
          </cell>
          <cell r="P32">
            <v>15.2</v>
          </cell>
          <cell r="Q32">
            <v>18.97828788</v>
          </cell>
          <cell r="R32" t="str">
            <v>+</v>
          </cell>
          <cell r="S32">
            <v>17.100000000000001</v>
          </cell>
          <cell r="T32">
            <v>3.1560000000000001</v>
          </cell>
          <cell r="U32">
            <v>3.306</v>
          </cell>
          <cell r="V32">
            <v>4.0810000000000004</v>
          </cell>
          <cell r="W32">
            <v>0.36799999999999999</v>
          </cell>
          <cell r="X32">
            <v>0.53500000000000003</v>
          </cell>
          <cell r="Y32">
            <v>0.873</v>
          </cell>
          <cell r="Z32">
            <v>4.8</v>
          </cell>
        </row>
        <row r="33">
          <cell r="A33" t="str">
            <v>Net Write-Off ($) /$100 billed</v>
          </cell>
          <cell r="B33" t="str">
            <v>L</v>
          </cell>
          <cell r="C33">
            <v>1.24</v>
          </cell>
          <cell r="D33">
            <v>1</v>
          </cell>
          <cell r="E33" t="str">
            <v>ê</v>
          </cell>
          <cell r="F33">
            <v>1.46</v>
          </cell>
          <cell r="I33">
            <v>1.46</v>
          </cell>
          <cell r="P33">
            <v>2.2999999999999998</v>
          </cell>
          <cell r="Q33">
            <v>1</v>
          </cell>
          <cell r="R33" t="str">
            <v>+</v>
          </cell>
          <cell r="S33">
            <v>0.88</v>
          </cell>
          <cell r="T33" t="str">
            <v>-</v>
          </cell>
          <cell r="U33">
            <v>73</v>
          </cell>
          <cell r="V33">
            <v>0.88</v>
          </cell>
        </row>
        <row r="34">
          <cell r="A34" t="str">
            <v>Days Sales Outstanding</v>
          </cell>
          <cell r="B34" t="str">
            <v>L</v>
          </cell>
          <cell r="C34">
            <v>37.1</v>
          </cell>
          <cell r="D34">
            <v>34.700000000000003</v>
          </cell>
          <cell r="E34" t="str">
            <v>ê</v>
          </cell>
          <cell r="F34">
            <v>40.94</v>
          </cell>
          <cell r="I34">
            <v>40.94</v>
          </cell>
          <cell r="P34">
            <v>35.6</v>
          </cell>
          <cell r="Q34">
            <v>34.700000000000003</v>
          </cell>
          <cell r="R34" t="str">
            <v>-</v>
          </cell>
          <cell r="S34">
            <v>36.46</v>
          </cell>
          <cell r="T34" t="str">
            <v>-</v>
          </cell>
          <cell r="U34">
            <v>74</v>
          </cell>
          <cell r="V34">
            <v>36.46</v>
          </cell>
        </row>
        <row r="35">
          <cell r="A35" t="str">
            <v>Aged Receivables &gt;90 Days (%) 2</v>
          </cell>
          <cell r="B35" t="str">
            <v>L</v>
          </cell>
          <cell r="C35">
            <v>0.2</v>
          </cell>
          <cell r="D35">
            <v>0.16500000000000001</v>
          </cell>
          <cell r="E35" t="str">
            <v>ê</v>
          </cell>
          <cell r="F35">
            <v>0.20380000000000001</v>
          </cell>
          <cell r="G35">
            <v>8.1</v>
          </cell>
          <cell r="I35">
            <v>0.20380000000000001</v>
          </cell>
          <cell r="J35">
            <v>8.5</v>
          </cell>
          <cell r="P35">
            <v>0.219</v>
          </cell>
          <cell r="Q35">
            <v>0.16500000000000001</v>
          </cell>
          <cell r="R35" t="str">
            <v>+</v>
          </cell>
          <cell r="S35">
            <v>0.2248</v>
          </cell>
          <cell r="U35" t="str">
            <v>Quarterly</v>
          </cell>
          <cell r="V35">
            <v>0.2248</v>
          </cell>
          <cell r="Y35" t="str">
            <v>Qtrly</v>
          </cell>
        </row>
        <row r="36">
          <cell r="A36" t="str">
            <v>LCS Outdoor Lighting Sales ($M)</v>
          </cell>
          <cell r="B36" t="str">
            <v>H</v>
          </cell>
          <cell r="C36">
            <v>4.1501619999999999</v>
          </cell>
          <cell r="D36">
            <v>4.2</v>
          </cell>
          <cell r="E36" t="str">
            <v>é</v>
          </cell>
          <cell r="F36">
            <v>6.4329520000000002</v>
          </cell>
          <cell r="G36">
            <v>8.1</v>
          </cell>
          <cell r="K36">
            <v>6.4329520000000002</v>
          </cell>
          <cell r="P36">
            <v>2.2260049999999998</v>
          </cell>
          <cell r="Q36">
            <v>0.26</v>
          </cell>
          <cell r="R36" t="str">
            <v>-</v>
          </cell>
          <cell r="S36">
            <v>0.20849899999999999</v>
          </cell>
          <cell r="U36" t="str">
            <v>Quarterly</v>
          </cell>
          <cell r="V36" t="str">
            <v>Qtrly</v>
          </cell>
          <cell r="X36">
            <v>0.20849899999999999</v>
          </cell>
          <cell r="Y36" t="str">
            <v>Qtrly</v>
          </cell>
        </row>
        <row r="37">
          <cell r="A37" t="str">
            <v>Total AS Revenue ($M)</v>
          </cell>
          <cell r="B37" t="str">
            <v>H</v>
          </cell>
          <cell r="C37">
            <v>135.34603799999999</v>
          </cell>
          <cell r="D37">
            <v>134.5</v>
          </cell>
          <cell r="E37" t="str">
            <v>é</v>
          </cell>
          <cell r="F37">
            <v>141.6</v>
          </cell>
          <cell r="L37">
            <v>141.6</v>
          </cell>
          <cell r="M37">
            <v>8.9</v>
          </cell>
          <cell r="P37">
            <v>13.674338000000001</v>
          </cell>
          <cell r="Q37">
            <v>11.41328223650692</v>
          </cell>
          <cell r="R37" t="str">
            <v>+</v>
          </cell>
          <cell r="S37">
            <v>12.8</v>
          </cell>
          <cell r="U37" t="str">
            <v>SemiAnnul</v>
          </cell>
          <cell r="Y37">
            <v>12.8</v>
          </cell>
          <cell r="AB37" t="str">
            <v>SemiAn</v>
          </cell>
        </row>
        <row r="38">
          <cell r="A38" t="str">
            <v>Payment Assistance-Dollars ($M)</v>
          </cell>
          <cell r="B38" t="str">
            <v>H</v>
          </cell>
          <cell r="C38">
            <v>205.06674799999999</v>
          </cell>
          <cell r="D38">
            <v>181.8</v>
          </cell>
          <cell r="E38" t="str">
            <v>é</v>
          </cell>
          <cell r="F38">
            <v>213.4</v>
          </cell>
          <cell r="J38">
            <v>7.4</v>
          </cell>
          <cell r="M38">
            <v>7.9</v>
          </cell>
          <cell r="P38">
            <v>10.115572999999999</v>
          </cell>
          <cell r="Q38">
            <v>8.9678665572538225</v>
          </cell>
          <cell r="R38" t="str">
            <v>+</v>
          </cell>
          <cell r="S38">
            <v>11.3</v>
          </cell>
          <cell r="T38" t="str">
            <v>+</v>
          </cell>
          <cell r="U38">
            <v>8.1999999999999993</v>
          </cell>
          <cell r="Y38">
            <v>8.1999999999999993</v>
          </cell>
          <cell r="AB38">
            <v>8.3000000000000007</v>
          </cell>
        </row>
        <row r="39">
          <cell r="A39" t="str">
            <v>2   YTD Based on a rolling 12 months.</v>
          </cell>
          <cell r="B39" t="str">
            <v>L</v>
          </cell>
          <cell r="C39">
            <v>0</v>
          </cell>
          <cell r="D39">
            <v>2</v>
          </cell>
          <cell r="E39" t="str">
            <v>ê</v>
          </cell>
          <cell r="F39" t="str">
            <v xml:space="preserve"> </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GREEN (ENERGY)</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Web Transactions (%)</v>
          </cell>
          <cell r="B42" t="str">
            <v>H</v>
          </cell>
          <cell r="C42">
            <v>0.221</v>
          </cell>
          <cell r="D42">
            <v>0.22</v>
          </cell>
          <cell r="E42" t="str">
            <v>é</v>
          </cell>
          <cell r="F42">
            <v>0.27800000000000002</v>
          </cell>
          <cell r="G42">
            <v>0.27800000000000002</v>
          </cell>
          <cell r="P42">
            <v>0.27300000000000002</v>
          </cell>
          <cell r="Q42">
            <v>0.22</v>
          </cell>
          <cell r="R42" t="str">
            <v>+</v>
          </cell>
          <cell r="S42">
            <v>0.29199999999999998</v>
          </cell>
          <cell r="T42">
            <v>0.29199999999999998</v>
          </cell>
        </row>
        <row r="43">
          <cell r="A43" t="str">
            <v>Paperless Billing (%)</v>
          </cell>
          <cell r="B43" t="str">
            <v>H</v>
          </cell>
          <cell r="C43">
            <v>0.02</v>
          </cell>
          <cell r="D43">
            <v>0.08</v>
          </cell>
          <cell r="E43" t="str">
            <v>ê</v>
          </cell>
          <cell r="F43">
            <v>5.7000000000000002E-2</v>
          </cell>
          <cell r="I43">
            <v>5.7000000000000002E-2</v>
          </cell>
          <cell r="P43">
            <v>0.02</v>
          </cell>
          <cell r="Q43">
            <v>0.08</v>
          </cell>
          <cell r="R43" t="str">
            <v>-</v>
          </cell>
          <cell r="S43">
            <v>5.7000000000000002E-2</v>
          </cell>
          <cell r="T43" t="str">
            <v>Monthly / Quarterly Status</v>
          </cell>
          <cell r="U43" t="str">
            <v>Cust Ops</v>
          </cell>
          <cell r="V43">
            <v>5.7000000000000002E-2</v>
          </cell>
          <cell r="W43" t="str">
            <v>Dist Ops</v>
          </cell>
          <cell r="X43" t="str">
            <v>Billing &amp; Rev Ops</v>
          </cell>
          <cell r="Y43" t="str">
            <v>Com Rel &amp; CSC</v>
          </cell>
          <cell r="Z43" t="str">
            <v>LCS &amp; AD</v>
          </cell>
          <cell r="AA43" t="str">
            <v>UM</v>
          </cell>
          <cell r="AB43" t="str">
            <v>RPA</v>
          </cell>
          <cell r="AC43" t="str">
            <v>VP &amp; Support</v>
          </cell>
        </row>
        <row r="44">
          <cell r="A44" t="str">
            <v>Solar Loan Committed Investment ($M)</v>
          </cell>
          <cell r="B44" t="str">
            <v>H</v>
          </cell>
          <cell r="C44">
            <v>42.933844999999998</v>
          </cell>
          <cell r="D44">
            <v>54.3</v>
          </cell>
          <cell r="E44" t="str">
            <v>é</v>
          </cell>
          <cell r="F44">
            <v>70.7</v>
          </cell>
          <cell r="K44">
            <v>70.7</v>
          </cell>
          <cell r="P44">
            <v>22.087311</v>
          </cell>
          <cell r="Q44">
            <v>8.1</v>
          </cell>
          <cell r="R44" t="str">
            <v>+</v>
          </cell>
          <cell r="S44">
            <v>9.4</v>
          </cell>
          <cell r="T44" t="str">
            <v>+</v>
          </cell>
          <cell r="U44">
            <v>7.0000000000000007E-2</v>
          </cell>
          <cell r="X44">
            <v>9.4</v>
          </cell>
          <cell r="AC44">
            <v>7.0000000000000007E-2</v>
          </cell>
        </row>
        <row r="45">
          <cell r="A45" t="str">
            <v>Energy Efficiency Committed Investment ($M)</v>
          </cell>
          <cell r="B45" t="str">
            <v>H</v>
          </cell>
          <cell r="C45">
            <v>20.071424</v>
          </cell>
          <cell r="D45">
            <v>87.3</v>
          </cell>
          <cell r="E45" t="str">
            <v>é</v>
          </cell>
          <cell r="F45">
            <v>89.7</v>
          </cell>
          <cell r="K45">
            <v>89.7</v>
          </cell>
          <cell r="P45">
            <v>9.7853949999999994</v>
          </cell>
          <cell r="Q45">
            <v>10.370900910000001</v>
          </cell>
          <cell r="R45" t="str">
            <v>-</v>
          </cell>
          <cell r="S45">
            <v>8.8000000000000007</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A48" t="str">
            <v>Expected to meet or exceed goal   é    Achievement of goal not yet assured   çè    Not expected to meet goal   ê</v>
          </cell>
          <cell r="I48" t="str">
            <v>Report Under Development</v>
          </cell>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A55" t="str">
            <v>Arrow Choices</v>
          </cell>
          <cell r="B55" t="str">
            <v>ê</v>
          </cell>
          <cell r="C55" t="str">
            <v>ê</v>
          </cell>
          <cell r="P55" t="str">
            <v>Contract Revenue ($M)</v>
          </cell>
          <cell r="Q55" t="str">
            <v>H</v>
          </cell>
          <cell r="R55">
            <v>6.9</v>
          </cell>
          <cell r="S55">
            <v>7.0078522185032197</v>
          </cell>
          <cell r="T55" t="str">
            <v>+</v>
          </cell>
          <cell r="U55">
            <v>7.5</v>
          </cell>
          <cell r="AA55">
            <v>7.5</v>
          </cell>
        </row>
        <row r="56">
          <cell r="B56" t="str">
            <v>é</v>
          </cell>
          <cell r="C56" t="str">
            <v>é</v>
          </cell>
          <cell r="P56" t="str">
            <v>AWH Revenue ($M)</v>
          </cell>
          <cell r="Q56" t="str">
            <v>H</v>
          </cell>
          <cell r="R56">
            <v>1.2</v>
          </cell>
          <cell r="S56">
            <v>1.267496</v>
          </cell>
          <cell r="T56" t="str">
            <v>+</v>
          </cell>
          <cell r="U56">
            <v>1.4</v>
          </cell>
          <cell r="AA56">
            <v>1.4</v>
          </cell>
        </row>
        <row r="57">
          <cell r="B57" t="str">
            <v>çè</v>
          </cell>
          <cell r="C57" t="str">
            <v>çè</v>
          </cell>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sheetData sheetId="3"/>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FinancialMenu"/>
      <sheetName val="Operational"/>
      <sheetName val="cost center 2001"/>
      <sheetName val="State Avg APSO per Prem hr"/>
      <sheetName val="Southern Avg APSO per Prem"/>
      <sheetName val="Central Avg APSO Rev per Prem"/>
      <sheetName val="Midcental Avg APSO per Prem"/>
      <sheetName val="Northern Avg APSO Rev Per prem"/>
      <sheetName val="Avg APSO Rev per prem by Distri"/>
      <sheetName val="State Avg HVAC per Prem hr"/>
      <sheetName val="Southern Avg HVAC per Prem"/>
      <sheetName val="Central Avg HVAC Rev per Prem"/>
      <sheetName val="Midcental Avg HVAC per Prem"/>
      <sheetName val="Northern Avg HVAC Rev Per prem"/>
      <sheetName val="Avg HVAC Rev per prem by Distri"/>
      <sheetName val="% of Prem Hours by Category"/>
      <sheetName val="Rev in force per Houshold"/>
      <sheetName val="Homes Enrolled"/>
      <sheetName val="Incurred Cost State"/>
      <sheetName val="Incurred Cost Southern"/>
      <sheetName val="Incurred Cost Central"/>
      <sheetName val="Incurred Cost Mid Central"/>
      <sheetName val="Incurred Cost Northern"/>
      <sheetName val="Incurred Cost Support"/>
      <sheetName val="Incurred Cost OPS Planning"/>
      <sheetName val="Net Costs"/>
      <sheetName val="IncomeMenu"/>
      <sheetName val="State Oper Income"/>
      <sheetName val="State Level Addins"/>
      <sheetName val="StateYTDCheck"/>
      <sheetName val="Southern Income"/>
      <sheetName val="SouthYTDCheck"/>
      <sheetName val="S Burlington"/>
      <sheetName val="S Trenton"/>
      <sheetName val="S Audubon"/>
      <sheetName val="S WG&amp;EA"/>
      <sheetName val="Central Income"/>
      <sheetName val="CentYTDCheck"/>
      <sheetName val="C JersCity"/>
      <sheetName val="C Harrison"/>
      <sheetName val="C Summit"/>
      <sheetName val="C WG&amp;EA"/>
      <sheetName val="Mid-Central Income"/>
      <sheetName val="MidCentYTDCheck"/>
      <sheetName val="MC NewBrunswick"/>
      <sheetName val="MC Orange"/>
      <sheetName val="MC Plainfield"/>
      <sheetName val="MC WG&amp;EA"/>
      <sheetName val="Northern Income"/>
      <sheetName val="NorthYTDCheck"/>
      <sheetName val="N Clifton"/>
      <sheetName val="N Oakland"/>
      <sheetName val="N Oradell"/>
      <sheetName val="N WG&amp;EA"/>
      <sheetName val="DistrictMarginHVAC"/>
      <sheetName val="DistrictMarginAPSO"/>
      <sheetName val="DistrictMarginContracts"/>
      <sheetName val="AS FINANCIAL &amp; INCOME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sheetData sheetId="1" refreshError="1"/>
      <sheetData sheetId="2" refreshError="1"/>
      <sheetData sheetId="3" refreshError="1">
        <row r="2">
          <cell r="B2">
            <v>2010</v>
          </cell>
        </row>
        <row r="3">
          <cell r="B3" t="str">
            <v>Q1</v>
          </cell>
        </row>
        <row r="4">
          <cell r="B4" t="str">
            <v>February</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P8">
            <v>131.73510800899999</v>
          </cell>
          <cell r="Q8">
            <v>9.44</v>
          </cell>
          <cell r="R8" t="str">
            <v>-</v>
          </cell>
          <cell r="S8">
            <v>13.049499699</v>
          </cell>
          <cell r="T8">
            <v>76.599950581000002</v>
          </cell>
          <cell r="U8">
            <v>0</v>
          </cell>
          <cell r="V8">
            <v>0</v>
          </cell>
          <cell r="W8">
            <v>0</v>
          </cell>
          <cell r="X8">
            <v>0</v>
          </cell>
          <cell r="Y8">
            <v>0</v>
          </cell>
          <cell r="Z8">
            <v>0</v>
          </cell>
          <cell r="AA8">
            <v>0</v>
          </cell>
        </row>
        <row r="9">
          <cell r="P9">
            <v>7.1631236663159124</v>
          </cell>
          <cell r="Q9">
            <v>3.75</v>
          </cell>
          <cell r="R9" t="str">
            <v>-</v>
          </cell>
          <cell r="S9">
            <v>7.4100832708107554</v>
          </cell>
          <cell r="T9">
            <v>9.1982569303117057</v>
          </cell>
          <cell r="U9">
            <v>10.011112334691507</v>
          </cell>
          <cell r="V9">
            <v>4.8329023995360414</v>
          </cell>
          <cell r="W9">
            <v>5.3496104146215551</v>
          </cell>
          <cell r="X9">
            <v>0</v>
          </cell>
          <cell r="Y9">
            <v>0</v>
          </cell>
          <cell r="Z9">
            <v>9.7490116939395275</v>
          </cell>
          <cell r="AA9">
            <v>20.036064916850332</v>
          </cell>
        </row>
        <row r="10">
          <cell r="P10">
            <v>0.97004986091539491</v>
          </cell>
          <cell r="Q10">
            <v>0.97299999999999998</v>
          </cell>
          <cell r="R10" t="str">
            <v>-</v>
          </cell>
          <cell r="S10">
            <v>0.96780520487253363</v>
          </cell>
          <cell r="T10">
            <v>0.9582043896400686</v>
          </cell>
          <cell r="U10">
            <v>0.96996324084797825</v>
          </cell>
          <cell r="V10">
            <v>0.96419252412839129</v>
          </cell>
          <cell r="W10">
            <v>0.9666851429192479</v>
          </cell>
          <cell r="X10">
            <v>0.95949950609153767</v>
          </cell>
          <cell r="Y10">
            <v>0.9635348371222725</v>
          </cell>
          <cell r="Z10">
            <v>0.98642810287498017</v>
          </cell>
          <cell r="AA10">
            <v>0.98734594345218485</v>
          </cell>
        </row>
        <row r="11">
          <cell r="P11">
            <v>0.21069636160105629</v>
          </cell>
          <cell r="Q11">
            <v>0.20032984245195637</v>
          </cell>
          <cell r="R11" t="str">
            <v xml:space="preserve"> -</v>
          </cell>
          <cell r="S11">
            <v>0.22403327065806986</v>
          </cell>
          <cell r="T11">
            <v>0.23003594553418397</v>
          </cell>
          <cell r="U11">
            <v>0.32032214613021803</v>
          </cell>
          <cell r="V11">
            <v>0.28557364267974472</v>
          </cell>
          <cell r="W11">
            <v>0.24899141397674165</v>
          </cell>
          <cell r="X11">
            <v>0.23641751728679619</v>
          </cell>
          <cell r="Y11">
            <v>0.10807979608975588</v>
          </cell>
          <cell r="Z11">
            <v>0.17845008934832274</v>
          </cell>
          <cell r="AA11">
            <v>3.9214393989323137E-2</v>
          </cell>
        </row>
        <row r="17">
          <cell r="P17" t="str">
            <v>Dec '09</v>
          </cell>
          <cell r="Q17" t="str">
            <v>2010 Plan</v>
          </cell>
          <cell r="R17" t="str">
            <v>Monthly Status</v>
          </cell>
          <cell r="S17" t="str">
            <v>ED</v>
          </cell>
          <cell r="T17" t="str">
            <v>CEN</v>
          </cell>
          <cell r="U17" t="str">
            <v>MET</v>
          </cell>
          <cell r="V17" t="str">
            <v>PAL</v>
          </cell>
          <cell r="W17" t="str">
            <v>SOU</v>
          </cell>
          <cell r="X17" t="str">
            <v>TC&amp;M</v>
          </cell>
          <cell r="Y17" t="str">
            <v>UOS</v>
          </cell>
          <cell r="Z17" t="str">
            <v>DP&amp;C</v>
          </cell>
        </row>
        <row r="18">
          <cell r="P18">
            <v>0.05</v>
          </cell>
          <cell r="Q18">
            <v>4.6455846222121365E-2</v>
          </cell>
          <cell r="R18" t="str">
            <v>o</v>
          </cell>
          <cell r="S18">
            <v>0.05</v>
          </cell>
          <cell r="T18">
            <v>0.06</v>
          </cell>
          <cell r="U18">
            <v>0.05</v>
          </cell>
          <cell r="V18">
            <v>0.04</v>
          </cell>
          <cell r="W18">
            <v>7.0000000000000007E-2</v>
          </cell>
        </row>
        <row r="19">
          <cell r="P19">
            <v>0.08</v>
          </cell>
          <cell r="Q19">
            <v>8.0346504248562808E-2</v>
          </cell>
          <cell r="R19" t="str">
            <v>+</v>
          </cell>
          <cell r="S19">
            <v>7.0000000000000007E-2</v>
          </cell>
          <cell r="T19">
            <v>0.09</v>
          </cell>
          <cell r="U19">
            <v>0.06</v>
          </cell>
          <cell r="V19">
            <v>0.04</v>
          </cell>
          <cell r="W19">
            <v>0.09</v>
          </cell>
          <cell r="X19">
            <v>3.2511263359225433E-2</v>
          </cell>
        </row>
        <row r="20">
          <cell r="P20">
            <v>64.52</v>
          </cell>
          <cell r="Q20">
            <v>55.621787737250557</v>
          </cell>
          <cell r="R20" t="str">
            <v>-</v>
          </cell>
          <cell r="S20">
            <v>66.510000000000005</v>
          </cell>
          <cell r="T20">
            <v>59.15</v>
          </cell>
          <cell r="U20">
            <v>67.34</v>
          </cell>
          <cell r="V20">
            <v>97.61</v>
          </cell>
          <cell r="W20">
            <v>53.67</v>
          </cell>
          <cell r="X20" t="str">
            <v>Pal</v>
          </cell>
          <cell r="Y20" t="str">
            <v>South</v>
          </cell>
          <cell r="Z20" t="str">
            <v>TC&amp;M</v>
          </cell>
          <cell r="AA20" t="str">
            <v>UOS</v>
          </cell>
        </row>
        <row r="21">
          <cell r="P21">
            <v>6.6225165562913907E-3</v>
          </cell>
          <cell r="Q21">
            <v>6.6225165562913907E-3</v>
          </cell>
          <cell r="R21" t="str">
            <v>+</v>
          </cell>
          <cell r="S21">
            <v>0</v>
          </cell>
          <cell r="T21" t="str">
            <v>+</v>
          </cell>
          <cell r="U21">
            <v>0.04</v>
          </cell>
          <cell r="V21">
            <v>0.03</v>
          </cell>
          <cell r="W21">
            <v>0.03</v>
          </cell>
          <cell r="X21">
            <v>0</v>
          </cell>
          <cell r="Y21">
            <v>0.05</v>
          </cell>
        </row>
        <row r="22">
          <cell r="P22">
            <v>0.62307692307692308</v>
          </cell>
          <cell r="Q22">
            <v>0.55600000000000005</v>
          </cell>
          <cell r="R22" t="str">
            <v>+</v>
          </cell>
          <cell r="S22">
            <v>0.56478405315614622</v>
          </cell>
          <cell r="T22">
            <v>0.5757575757575758</v>
          </cell>
          <cell r="U22">
            <v>0.53488372093023251</v>
          </cell>
          <cell r="V22">
            <v>0.48484848484848486</v>
          </cell>
          <cell r="W22">
            <v>0.6506024096385542</v>
          </cell>
          <cell r="X22">
            <v>7.0000000000000007E-2</v>
          </cell>
          <cell r="Y22">
            <v>0.1</v>
          </cell>
          <cell r="Z22">
            <v>3.5651092039635075E-2</v>
          </cell>
        </row>
        <row r="23">
          <cell r="P23">
            <v>72.946189949688105</v>
          </cell>
          <cell r="Q23">
            <v>76</v>
          </cell>
          <cell r="R23" t="str">
            <v>o</v>
          </cell>
          <cell r="S23">
            <v>76.298553283852698</v>
          </cell>
          <cell r="T23" t="str">
            <v>-</v>
          </cell>
          <cell r="U23">
            <v>70.39</v>
          </cell>
          <cell r="V23">
            <v>53.15</v>
          </cell>
          <cell r="W23">
            <v>136.38999999999999</v>
          </cell>
          <cell r="X23">
            <v>53.49</v>
          </cell>
          <cell r="Y23">
            <v>49.89</v>
          </cell>
        </row>
        <row r="24">
          <cell r="P24">
            <v>73.827362997590299</v>
          </cell>
          <cell r="Q24">
            <v>76</v>
          </cell>
          <cell r="R24" t="str">
            <v>+</v>
          </cell>
          <cell r="S24">
            <v>78.664250974889498</v>
          </cell>
        </row>
        <row r="25">
          <cell r="P25">
            <v>0.88868810986628122</v>
          </cell>
          <cell r="Q25">
            <v>0.84</v>
          </cell>
          <cell r="R25" t="str">
            <v>-</v>
          </cell>
          <cell r="S25">
            <v>0.70885341074020314</v>
          </cell>
          <cell r="T25">
            <v>0.62</v>
          </cell>
          <cell r="U25">
            <v>0.8</v>
          </cell>
          <cell r="V25">
            <v>0.88</v>
          </cell>
          <cell r="W25">
            <v>0.56000000000000005</v>
          </cell>
          <cell r="Z25">
            <v>0</v>
          </cell>
        </row>
        <row r="26">
          <cell r="P26">
            <v>8.69</v>
          </cell>
          <cell r="Q26">
            <v>9</v>
          </cell>
          <cell r="R26" t="str">
            <v>-</v>
          </cell>
          <cell r="S26">
            <v>8.5500000000000007</v>
          </cell>
          <cell r="T26">
            <v>8.56</v>
          </cell>
          <cell r="U26">
            <v>8.36</v>
          </cell>
          <cell r="V26">
            <v>8.5399999999999991</v>
          </cell>
          <cell r="W26">
            <v>8.73</v>
          </cell>
          <cell r="X26">
            <v>0.77142857142857146</v>
          </cell>
          <cell r="Y26">
            <v>0.65384615384615385</v>
          </cell>
          <cell r="Z26">
            <v>8.9499999999999993</v>
          </cell>
        </row>
        <row r="27">
          <cell r="P27">
            <v>18</v>
          </cell>
          <cell r="Q27">
            <v>19.497146998755639</v>
          </cell>
          <cell r="R27" t="str">
            <v>-</v>
          </cell>
          <cell r="S27">
            <v>22</v>
          </cell>
          <cell r="T27">
            <v>9</v>
          </cell>
          <cell r="U27">
            <v>9</v>
          </cell>
          <cell r="V27">
            <v>4</v>
          </cell>
          <cell r="W27">
            <v>0</v>
          </cell>
          <cell r="X27">
            <v>0</v>
          </cell>
          <cell r="Z27">
            <v>0</v>
          </cell>
          <cell r="AA27">
            <v>43.17</v>
          </cell>
        </row>
        <row r="28">
          <cell r="P28" t="str">
            <v xml:space="preserve">Perception Survey (Res/Sm Business) </v>
          </cell>
          <cell r="Q28" t="str">
            <v>H</v>
          </cell>
          <cell r="R28">
            <v>75.437069158065299</v>
          </cell>
          <cell r="S28">
            <v>76</v>
          </cell>
          <cell r="T28" t="str">
            <v>-</v>
          </cell>
          <cell r="U28">
            <v>73.253084911504601</v>
          </cell>
        </row>
        <row r="29">
          <cell r="P29" t="str">
            <v>Dec '09</v>
          </cell>
          <cell r="Q29" t="str">
            <v>2010 Plan</v>
          </cell>
          <cell r="R29" t="str">
            <v>Monthly Status</v>
          </cell>
          <cell r="S29" t="str">
            <v>ED</v>
          </cell>
          <cell r="T29" t="str">
            <v>CEN</v>
          </cell>
          <cell r="U29" t="str">
            <v>MET</v>
          </cell>
          <cell r="V29" t="str">
            <v>PAL</v>
          </cell>
          <cell r="W29" t="str">
            <v>SOU</v>
          </cell>
          <cell r="X29" t="str">
            <v>TC&amp;M</v>
          </cell>
          <cell r="Y29" t="str">
            <v>UOS</v>
          </cell>
          <cell r="Z29" t="str">
            <v>DP&amp;C</v>
          </cell>
          <cell r="AA29" t="str">
            <v>VP&amp;O</v>
          </cell>
        </row>
        <row r="30">
          <cell r="P30">
            <v>70.176370000000006</v>
          </cell>
          <cell r="Q30">
            <v>126.55934499999999</v>
          </cell>
          <cell r="R30" t="str">
            <v>+</v>
          </cell>
          <cell r="S30">
            <v>98.875302000000005</v>
          </cell>
          <cell r="T30">
            <v>8.0386159999999993</v>
          </cell>
          <cell r="U30">
            <v>7.3736800000000002</v>
          </cell>
          <cell r="V30">
            <v>10.796146</v>
          </cell>
          <cell r="W30">
            <v>10.021238</v>
          </cell>
          <cell r="X30">
            <v>0.221744</v>
          </cell>
          <cell r="Y30">
            <v>2.5366740000000001</v>
          </cell>
          <cell r="Z30">
            <v>50.760264999999997</v>
          </cell>
          <cell r="AA30">
            <v>9.1269390000000001</v>
          </cell>
        </row>
        <row r="31">
          <cell r="P31">
            <v>38.283583990000004</v>
          </cell>
          <cell r="Q31">
            <v>31.964803289999999</v>
          </cell>
          <cell r="R31" t="str">
            <v>-</v>
          </cell>
          <cell r="S31">
            <v>34.256933150000002</v>
          </cell>
          <cell r="T31">
            <v>2.3566097999999998</v>
          </cell>
          <cell r="U31">
            <v>1.9251653999999998</v>
          </cell>
          <cell r="V31">
            <v>1.8044302700000001</v>
          </cell>
          <cell r="W31">
            <v>2.2296226099999998</v>
          </cell>
          <cell r="X31">
            <v>1.21570387</v>
          </cell>
          <cell r="Y31">
            <v>2.3618132799999998</v>
          </cell>
          <cell r="Z31">
            <v>5.9068916900000001</v>
          </cell>
          <cell r="AA31">
            <v>16.456696230000002</v>
          </cell>
        </row>
        <row r="32">
          <cell r="P32" t="str">
            <v>Number of Regulatory Inquiries</v>
          </cell>
          <cell r="Q32" t="str">
            <v>L</v>
          </cell>
          <cell r="R32">
            <v>9</v>
          </cell>
          <cell r="S32">
            <v>19.88649262202043</v>
          </cell>
          <cell r="T32" t="str">
            <v>+</v>
          </cell>
          <cell r="U32">
            <v>18</v>
          </cell>
          <cell r="V32">
            <v>6</v>
          </cell>
          <cell r="W32">
            <v>8</v>
          </cell>
          <cell r="X32">
            <v>1</v>
          </cell>
          <cell r="Y32">
            <v>2</v>
          </cell>
          <cell r="Z32">
            <v>1</v>
          </cell>
        </row>
        <row r="33">
          <cell r="Q33">
            <v>1.3483108788979365</v>
          </cell>
          <cell r="R33" t="str">
            <v>-</v>
          </cell>
          <cell r="S33">
            <v>1.0976894847298717</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GREEN ENERGY</v>
          </cell>
          <cell r="B37" t="str">
            <v>L/H</v>
          </cell>
          <cell r="C37" t="str">
            <v>Dec '09 YTD</v>
          </cell>
          <cell r="D37" t="str">
            <v>2010 Target</v>
          </cell>
          <cell r="E37" t="str">
            <v>YE Forecast</v>
          </cell>
          <cell r="F37" t="str">
            <v>ED</v>
          </cell>
          <cell r="G37" t="str">
            <v>CEN</v>
          </cell>
          <cell r="H37" t="str">
            <v>MET</v>
          </cell>
          <cell r="I37" t="str">
            <v>PAL</v>
          </cell>
          <cell r="J37" t="str">
            <v>SOU</v>
          </cell>
          <cell r="K37" t="str">
            <v>TC&amp;M</v>
          </cell>
          <cell r="L37" t="str">
            <v>UOS</v>
          </cell>
          <cell r="M37" t="str">
            <v>DP&amp;C</v>
          </cell>
          <cell r="N37" t="str">
            <v>VP&amp;O</v>
          </cell>
          <cell r="P37" t="str">
            <v>Dec '09</v>
          </cell>
          <cell r="Q37" t="str">
            <v>2010 Plan</v>
          </cell>
          <cell r="R37" t="str">
            <v>Monthly Status</v>
          </cell>
          <cell r="S37" t="str">
            <v>ED</v>
          </cell>
          <cell r="T37" t="str">
            <v>CEN</v>
          </cell>
          <cell r="U37" t="str">
            <v>MET</v>
          </cell>
          <cell r="V37" t="str">
            <v>PAL</v>
          </cell>
          <cell r="W37" t="str">
            <v>SOU</v>
          </cell>
          <cell r="X37" t="str">
            <v>TC&amp;M</v>
          </cell>
          <cell r="Y37" t="str">
            <v>UOS</v>
          </cell>
          <cell r="Z37" t="str">
            <v>DP&amp;C</v>
          </cell>
          <cell r="AA37" t="str">
            <v>VP&amp;O</v>
          </cell>
        </row>
        <row r="38">
          <cell r="A38" t="str">
            <v>Fleet MPG</v>
          </cell>
          <cell r="B38" t="str">
            <v>H</v>
          </cell>
          <cell r="C38">
            <v>8.8774625332983828</v>
          </cell>
          <cell r="D38">
            <v>263</v>
          </cell>
          <cell r="E38" t="str">
            <v>é</v>
          </cell>
          <cell r="F38">
            <v>249.49952089599998</v>
          </cell>
          <cell r="L38">
            <v>9.1999999999999993</v>
          </cell>
          <cell r="M38">
            <v>249.49952089599998</v>
          </cell>
          <cell r="P38">
            <v>7.5416792827344903</v>
          </cell>
          <cell r="Q38">
            <v>9.1999999999999993</v>
          </cell>
          <cell r="R38" t="str">
            <v>-</v>
          </cell>
          <cell r="S38">
            <v>8.4895110890309926</v>
          </cell>
          <cell r="Y38">
            <v>8.4895110890309926</v>
          </cell>
        </row>
        <row r="39">
          <cell r="A39" t="str">
            <v>% Landfill Disposal</v>
          </cell>
          <cell r="B39" t="str">
            <v>L</v>
          </cell>
          <cell r="C39">
            <v>3.456220417979268E-2</v>
          </cell>
          <cell r="D39">
            <v>3.4000000000000002E-2</v>
          </cell>
          <cell r="E39" t="str">
            <v>ê</v>
          </cell>
          <cell r="F39">
            <v>5.0346557451101975E-2</v>
          </cell>
          <cell r="G39">
            <v>6.8685369275619607E-2</v>
          </cell>
          <cell r="H39">
            <v>4.6027103280768908E-2</v>
          </cell>
          <cell r="I39">
            <v>5.7550132155136692E-2</v>
          </cell>
          <cell r="J39">
            <v>5.7752540907539049E-2</v>
          </cell>
          <cell r="K39">
            <v>1.0362783099317345E-2</v>
          </cell>
          <cell r="L39">
            <v>8.1153892955502405E-2</v>
          </cell>
          <cell r="M39">
            <v>0.52450691727272736</v>
          </cell>
          <cell r="N39">
            <v>0.47020614027815949</v>
          </cell>
          <cell r="P39">
            <v>6.7489381134526558E-2</v>
          </cell>
          <cell r="Q39">
            <v>3.4000000000000002E-2</v>
          </cell>
          <cell r="R39" t="str">
            <v>-</v>
          </cell>
          <cell r="S39">
            <v>4.6161213844463304E-2</v>
          </cell>
          <cell r="T39">
            <v>9.1186056681353031E-2</v>
          </cell>
          <cell r="U39">
            <v>3.5766209114339517E-2</v>
          </cell>
          <cell r="V39">
            <v>2.997889276915194E-2</v>
          </cell>
          <cell r="W39">
            <v>1.4007346806395435E-2</v>
          </cell>
          <cell r="X39">
            <v>9.3243560752975848E-3</v>
          </cell>
          <cell r="Y39">
            <v>6.6545003579314586E-3</v>
          </cell>
          <cell r="AA39">
            <v>0.75374966567797508</v>
          </cell>
        </row>
        <row r="40">
          <cell r="A40" t="str">
            <v>Solar for All Earnings ($M)*</v>
          </cell>
          <cell r="B40" t="str">
            <v>H</v>
          </cell>
          <cell r="C40">
            <v>0.7228306053652146</v>
          </cell>
          <cell r="D40">
            <v>5.2</v>
          </cell>
          <cell r="E40" t="str">
            <v>ê</v>
          </cell>
          <cell r="F40">
            <v>3.4674900000000002</v>
          </cell>
          <cell r="M40">
            <v>0.92644702465783213</v>
          </cell>
          <cell r="N40">
            <v>0</v>
          </cell>
          <cell r="Q40">
            <v>0.43333333333333335</v>
          </cell>
          <cell r="R40" t="str">
            <v>+</v>
          </cell>
          <cell r="S40">
            <v>0.71524152766152627</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cell r="P43" t="str">
            <v>LEGEND:       Monthly Status:     +  = Better than Plan,     o  = On Plan,      -  = Worse than Plan</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39.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ustomProperty" Target="../customProperty22.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customProperty" Target="../customProperty14.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ustomProperty" Target="../customProperty13.bin"/><Relationship Id="rId5" Type="http://schemas.openxmlformats.org/officeDocument/2006/relationships/printerSettings" Target="../printerSettings/printerSettings2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customProperty" Target="../customProperty16.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customProperty" Target="../customProperty15.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customProperty" Target="../customProperty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2:I1087"/>
  <sheetViews>
    <sheetView showGridLines="0" zoomScale="50" zoomScaleNormal="50" workbookViewId="0">
      <selection activeCell="H287" sqref="H287"/>
    </sheetView>
  </sheetViews>
  <sheetFormatPr defaultColWidth="9.28515625" defaultRowHeight="20.25"/>
  <cols>
    <col min="1" max="1" width="8.5703125" style="228" customWidth="1"/>
    <col min="2" max="2" width="4.5703125" style="197" customWidth="1"/>
    <col min="3" max="3" width="72.28515625" style="197" customWidth="1"/>
    <col min="4" max="4" width="39.85546875" style="197" customWidth="1"/>
    <col min="5" max="5" width="27.42578125" style="230" customWidth="1"/>
    <col min="6" max="6" width="36.85546875" style="197" customWidth="1"/>
    <col min="7" max="7" width="36.42578125" style="737" customWidth="1"/>
    <col min="8" max="8" width="33.7109375" style="197" customWidth="1"/>
    <col min="9" max="16384" width="9.28515625" style="8"/>
  </cols>
  <sheetData>
    <row r="2" spans="1:8" ht="25.5" customHeight="1" thickBot="1">
      <c r="C2" s="231"/>
      <c r="D2" s="885"/>
      <c r="E2" s="885"/>
      <c r="F2" s="885"/>
    </row>
    <row r="3" spans="1:8" ht="30" customHeight="1" thickBot="1">
      <c r="A3" s="232" t="s">
        <v>0</v>
      </c>
      <c r="B3" s="233"/>
      <c r="C3" s="233"/>
      <c r="D3" s="886"/>
      <c r="E3" s="886"/>
      <c r="F3" s="887"/>
    </row>
    <row r="4" spans="1:8" ht="24.6" customHeight="1">
      <c r="A4" s="234" t="s">
        <v>1</v>
      </c>
      <c r="B4" s="235"/>
      <c r="C4" s="235"/>
      <c r="D4" s="236"/>
      <c r="E4" s="236"/>
      <c r="F4" s="237"/>
      <c r="H4" s="527" t="s">
        <v>986</v>
      </c>
    </row>
    <row r="5" spans="1:8" s="9" customFormat="1" ht="45" customHeight="1" thickBot="1">
      <c r="A5" s="238" t="s">
        <v>2</v>
      </c>
      <c r="B5" s="239"/>
      <c r="C5" s="239"/>
      <c r="D5" s="239"/>
      <c r="E5" s="240" t="s">
        <v>3</v>
      </c>
      <c r="F5" s="241" t="s">
        <v>4</v>
      </c>
      <c r="G5" s="737"/>
      <c r="H5" s="526" t="s">
        <v>985</v>
      </c>
    </row>
    <row r="6" spans="1:8" s="9" customFormat="1" ht="23.25" customHeight="1">
      <c r="A6" s="243" t="s">
        <v>5</v>
      </c>
      <c r="B6" s="242"/>
      <c r="C6" s="242"/>
      <c r="D6" s="242"/>
      <c r="E6" s="227"/>
      <c r="F6" s="198"/>
      <c r="G6" s="737"/>
      <c r="H6" s="198"/>
    </row>
    <row r="7" spans="1:8">
      <c r="A7" s="244" t="s">
        <v>6</v>
      </c>
      <c r="B7" s="245"/>
      <c r="C7" s="206"/>
      <c r="D7" s="206"/>
      <c r="E7" s="246"/>
      <c r="F7" s="206"/>
      <c r="G7" s="749"/>
      <c r="H7" s="199"/>
    </row>
    <row r="8" spans="1:8">
      <c r="E8" s="227"/>
      <c r="H8" s="532"/>
    </row>
    <row r="9" spans="1:8">
      <c r="A9" s="227"/>
      <c r="B9" s="242" t="s">
        <v>7</v>
      </c>
      <c r="E9" s="205"/>
      <c r="F9" s="201"/>
      <c r="G9" s="750"/>
      <c r="H9" s="201"/>
    </row>
    <row r="10" spans="1:8">
      <c r="A10" s="230">
        <v>1</v>
      </c>
      <c r="B10" s="230"/>
      <c r="C10" s="197" t="s">
        <v>8</v>
      </c>
      <c r="D10" s="247"/>
      <c r="E10" s="248"/>
      <c r="F10" s="201" t="str">
        <f>"(Attachment 4, Line "&amp;'4 - Cost Support'!$A$33&amp;")"</f>
        <v>(Attachment 4, Line 16)</v>
      </c>
      <c r="H10" s="201">
        <f>+'4 - Cost Support'!T33</f>
        <v>4489848</v>
      </c>
    </row>
    <row r="11" spans="1:8">
      <c r="A11" s="230"/>
    </row>
    <row r="12" spans="1:8">
      <c r="A12" s="230">
        <f>+A10+1</f>
        <v>2</v>
      </c>
      <c r="B12" s="230"/>
      <c r="C12" s="197" t="s">
        <v>9</v>
      </c>
      <c r="E12" s="248"/>
      <c r="F12" s="201" t="str">
        <f>"(Attachment 4, Line "&amp;'4 - Cost Support'!$A$31&amp;")"</f>
        <v>(Attachment 4, Line 14)</v>
      </c>
      <c r="H12" s="201">
        <f>+'4 - Cost Support'!T31</f>
        <v>50062304</v>
      </c>
    </row>
    <row r="13" spans="1:8">
      <c r="A13" s="230">
        <f>+A12+1</f>
        <v>3</v>
      </c>
      <c r="B13" s="230"/>
      <c r="C13" s="197" t="s">
        <v>10</v>
      </c>
      <c r="E13" s="248"/>
      <c r="F13" s="204" t="str">
        <f>"(Attachment 4, Line "&amp;'4 - Cost Support'!$A$32&amp;")"</f>
        <v>(Attachment 4, Line 15)</v>
      </c>
      <c r="H13" s="201">
        <f>+'4 - Cost Support'!T32</f>
        <v>14168528</v>
      </c>
    </row>
    <row r="14" spans="1:8">
      <c r="A14" s="230">
        <f>+A13+1</f>
        <v>4</v>
      </c>
      <c r="B14" s="230"/>
      <c r="C14" s="249" t="s">
        <v>11</v>
      </c>
      <c r="D14" s="202"/>
      <c r="E14" s="250"/>
      <c r="F14" s="202" t="str">
        <f>"(Line "&amp;A12&amp;" - Line "&amp;A13&amp;")"</f>
        <v>(Line 2 - Line 3)</v>
      </c>
      <c r="G14" s="739"/>
      <c r="H14" s="202">
        <f>H12-H13</f>
        <v>35893776</v>
      </c>
    </row>
    <row r="15" spans="1:8">
      <c r="A15" s="230"/>
      <c r="B15" s="230"/>
      <c r="E15" s="205"/>
      <c r="H15" s="201"/>
    </row>
    <row r="16" spans="1:8" ht="21" thickBot="1">
      <c r="A16" s="230">
        <v>5</v>
      </c>
      <c r="B16" s="251" t="s">
        <v>12</v>
      </c>
      <c r="C16" s="251"/>
      <c r="D16" s="252"/>
      <c r="E16" s="253"/>
      <c r="F16" s="254" t="str">
        <f>"(Line "&amp;A10&amp;" / Line "&amp;A14&amp;")"</f>
        <v>(Line 1 / Line 4)</v>
      </c>
      <c r="G16" s="738"/>
      <c r="H16" s="472">
        <f>H10/H14</f>
        <v>0.12508709030780155</v>
      </c>
    </row>
    <row r="17" spans="1:8" ht="21" thickTop="1">
      <c r="A17" s="230"/>
      <c r="B17" s="230"/>
      <c r="C17" s="242"/>
      <c r="E17" s="205"/>
      <c r="H17" s="203"/>
    </row>
    <row r="18" spans="1:8">
      <c r="A18" s="230"/>
      <c r="B18" s="242" t="s">
        <v>13</v>
      </c>
    </row>
    <row r="19" spans="1:8">
      <c r="A19" s="230">
        <f>+A16+1</f>
        <v>6</v>
      </c>
      <c r="C19" s="197" t="s">
        <v>14</v>
      </c>
      <c r="E19" s="248" t="str">
        <f>"(Note "&amp;B$297&amp;")"</f>
        <v>(Note A)</v>
      </c>
      <c r="F19" s="201" t="str">
        <f>"(Attachment 4, Line "&amp;'4 - Cost Support'!A9&amp;")"</f>
        <v>(Attachment 4, Line 1)</v>
      </c>
      <c r="H19" s="201">
        <f>+'4 - Cost Support'!T9</f>
        <v>3356129425.550427</v>
      </c>
    </row>
    <row r="20" spans="1:8">
      <c r="A20" s="230">
        <f>+A19+1</f>
        <v>7</v>
      </c>
      <c r="C20" s="255" t="s">
        <v>15</v>
      </c>
      <c r="D20" s="255"/>
      <c r="E20" s="256" t="str">
        <f>"(Note "&amp;B$297&amp;")"</f>
        <v>(Note A)</v>
      </c>
      <c r="F20" s="204" t="str">
        <f>"(Attachment 4, Line "&amp;'4 - Cost Support'!A11&amp;")"</f>
        <v>(Attachment 4, Line 3)</v>
      </c>
      <c r="G20" s="740"/>
      <c r="H20" s="204">
        <f>+'4 - Cost Support'!T11</f>
        <v>-1343580112.1800752</v>
      </c>
    </row>
    <row r="21" spans="1:8">
      <c r="A21" s="230">
        <f>+A20+1</f>
        <v>8</v>
      </c>
      <c r="C21" s="197" t="s">
        <v>16</v>
      </c>
      <c r="F21" s="201" t="str">
        <f>"(Line "&amp;A19&amp;" - Line "&amp;A20&amp;")"</f>
        <v>(Line 6 - Line 7)</v>
      </c>
      <c r="H21" s="201">
        <f>+H19+H20</f>
        <v>2012549313.3703518</v>
      </c>
    </row>
    <row r="22" spans="1:8">
      <c r="A22" s="230"/>
    </row>
    <row r="23" spans="1:8">
      <c r="A23" s="230">
        <f>+A21+1</f>
        <v>9</v>
      </c>
      <c r="C23" s="197" t="s">
        <v>17</v>
      </c>
      <c r="E23" s="248" t="str">
        <f>"(Note "&amp;B$297&amp;")"</f>
        <v>(Note A)</v>
      </c>
      <c r="F23" s="204" t="str">
        <f>"(Line "&amp;A42&amp;")"</f>
        <v>(Line 20)</v>
      </c>
      <c r="H23" s="545">
        <f>H42</f>
        <v>788407647.75990045</v>
      </c>
    </row>
    <row r="24" spans="1:8" ht="21" thickBot="1">
      <c r="A24" s="230">
        <f>+A23+1</f>
        <v>10</v>
      </c>
      <c r="B24" s="251" t="s">
        <v>18</v>
      </c>
      <c r="C24" s="251"/>
      <c r="D24" s="252"/>
      <c r="E24" s="258"/>
      <c r="F24" s="254" t="str">
        <f>"(Line "&amp;A23&amp;" / Line "&amp;A19&amp;")"</f>
        <v>(Line 9 / Line 6)</v>
      </c>
      <c r="G24" s="738"/>
      <c r="H24" s="472">
        <f>H23/H19</f>
        <v>0.23491574602507961</v>
      </c>
    </row>
    <row r="25" spans="1:8" ht="21" thickTop="1">
      <c r="A25" s="230"/>
    </row>
    <row r="26" spans="1:8">
      <c r="A26" s="230">
        <f>+A24+1</f>
        <v>11</v>
      </c>
      <c r="B26" s="230"/>
      <c r="C26" s="197" t="s">
        <v>19</v>
      </c>
      <c r="E26" s="248" t="str">
        <f>"(Note "&amp;B$297&amp;")"</f>
        <v>(Note A)</v>
      </c>
      <c r="F26" s="204" t="str">
        <f>"(Line "&amp;A57&amp;")"</f>
        <v>(Line 29)</v>
      </c>
      <c r="H26" s="207">
        <f>H57</f>
        <v>539727010.83271062</v>
      </c>
    </row>
    <row r="27" spans="1:8" ht="21" thickBot="1">
      <c r="A27" s="230">
        <f>+A26+1</f>
        <v>12</v>
      </c>
      <c r="B27" s="251" t="s">
        <v>20</v>
      </c>
      <c r="C27" s="251"/>
      <c r="D27" s="252"/>
      <c r="E27" s="258"/>
      <c r="F27" s="254" t="str">
        <f>"(Line "&amp;A26&amp;" / Line "&amp;A21&amp;")"</f>
        <v>(Line 11 / Line 8)</v>
      </c>
      <c r="G27" s="738"/>
      <c r="H27" s="472">
        <f>H26/H21</f>
        <v>0.26818076319772116</v>
      </c>
    </row>
    <row r="28" spans="1:8" ht="21" thickTop="1">
      <c r="A28" s="230"/>
      <c r="B28" s="242"/>
      <c r="C28" s="242"/>
      <c r="F28" s="201"/>
      <c r="H28" s="389"/>
    </row>
    <row r="29" spans="1:8">
      <c r="A29" s="230"/>
      <c r="B29" s="242"/>
      <c r="F29" s="201"/>
      <c r="H29" s="389"/>
    </row>
    <row r="30" spans="1:8">
      <c r="A30" s="244" t="s">
        <v>21</v>
      </c>
      <c r="B30" s="245"/>
      <c r="C30" s="206"/>
      <c r="D30" s="206"/>
      <c r="E30" s="246"/>
      <c r="F30" s="206"/>
      <c r="G30" s="749"/>
      <c r="H30" s="199"/>
    </row>
    <row r="31" spans="1:8">
      <c r="A31" s="259"/>
      <c r="B31" s="260"/>
      <c r="E31" s="227"/>
      <c r="H31" s="200"/>
    </row>
    <row r="32" spans="1:8">
      <c r="A32" s="230"/>
      <c r="B32" s="242" t="s">
        <v>22</v>
      </c>
      <c r="E32" s="205"/>
      <c r="F32" s="201"/>
      <c r="H32" s="201"/>
    </row>
    <row r="33" spans="1:8">
      <c r="A33" s="230">
        <f>+A27+1</f>
        <v>13</v>
      </c>
      <c r="B33" s="230"/>
      <c r="C33" s="197" t="s">
        <v>23</v>
      </c>
      <c r="E33" s="248" t="str">
        <f>"(Note "&amp;B$297&amp;" &amp; "&amp;B306&amp;")"</f>
        <v>(Note A &amp; J)</v>
      </c>
      <c r="F33" s="201" t="str">
        <f>"(Attachment 4, Line "&amp;'4 - Cost Support'!A17&amp;")"</f>
        <v>(Attachment 4, Line 7)</v>
      </c>
      <c r="H33" s="201">
        <f>+'4 - Cost Support'!T17</f>
        <v>770607229.81683683</v>
      </c>
    </row>
    <row r="34" spans="1:8">
      <c r="A34" s="230"/>
      <c r="B34" s="230"/>
      <c r="F34" s="201"/>
      <c r="H34" s="201"/>
    </row>
    <row r="35" spans="1:8">
      <c r="A35" s="230">
        <f>+A33+1</f>
        <v>14</v>
      </c>
      <c r="B35" s="230"/>
      <c r="C35" s="197" t="s">
        <v>24</v>
      </c>
      <c r="E35" s="248" t="str">
        <f>"(Note "&amp;B$297&amp;")"</f>
        <v>(Note A)</v>
      </c>
      <c r="F35" s="201" t="str">
        <f>"(Attachment 4, Line "&amp;'4 - Cost Support'!A18&amp;")"</f>
        <v>(Attachment 4, Line 8)</v>
      </c>
      <c r="H35" s="201">
        <f>+'4 - Cost Support'!T18</f>
        <v>72014088.355653301</v>
      </c>
    </row>
    <row r="36" spans="1:8">
      <c r="A36" s="230">
        <f>A35+1</f>
        <v>15</v>
      </c>
      <c r="B36" s="230"/>
      <c r="C36" s="197" t="s">
        <v>25</v>
      </c>
      <c r="E36" s="248" t="str">
        <f>"(Note "&amp;B$297&amp;")"</f>
        <v>(Note A)</v>
      </c>
      <c r="F36" s="201" t="str">
        <f>"(Attachment 4, Line "&amp;'4 - Cost Support'!A19&amp;")"</f>
        <v>(Attachment 4, Line 9)</v>
      </c>
      <c r="H36" s="201">
        <f>+'4 - Cost Support'!T19</f>
        <v>70290108.658300772</v>
      </c>
    </row>
    <row r="37" spans="1:8">
      <c r="A37" s="230">
        <f>A36+1</f>
        <v>16</v>
      </c>
      <c r="B37" s="230"/>
      <c r="C37" s="197" t="s">
        <v>26</v>
      </c>
      <c r="E37" s="248" t="str">
        <f>"(Note "&amp;B$297&amp;")"</f>
        <v>(Note A)</v>
      </c>
      <c r="F37" s="204" t="str">
        <f>"(Attachment 4, Line "&amp;'4 - Cost Support'!A20&amp;")"</f>
        <v>(Attachment 4, Line 10)</v>
      </c>
      <c r="H37" s="201">
        <f>+'4 - Cost Support'!T20</f>
        <v>0</v>
      </c>
    </row>
    <row r="38" spans="1:8">
      <c r="A38" s="230">
        <f>A37+1</f>
        <v>17</v>
      </c>
      <c r="B38" s="230"/>
      <c r="C38" s="249" t="s">
        <v>27</v>
      </c>
      <c r="D38" s="249"/>
      <c r="E38" s="257"/>
      <c r="F38" s="201" t="str">
        <f>"(Line "&amp;A35&amp;" + Line "&amp;A36&amp;" + Line "&amp;A37&amp;")"</f>
        <v>(Line 14 + Line 15 + Line 16)</v>
      </c>
      <c r="G38" s="739"/>
      <c r="H38" s="202">
        <f>SUM(H35:H37)</f>
        <v>142304197.01395407</v>
      </c>
    </row>
    <row r="39" spans="1:8">
      <c r="A39" s="230">
        <f>+A38+1</f>
        <v>18</v>
      </c>
      <c r="B39" s="230"/>
      <c r="C39" s="228" t="s">
        <v>28</v>
      </c>
      <c r="E39" s="205"/>
      <c r="F39" s="204" t="str">
        <f>"(Line "&amp;A$16&amp;")"</f>
        <v>(Line 5)</v>
      </c>
      <c r="H39" s="459">
        <f>H16</f>
        <v>0.12508709030780155</v>
      </c>
    </row>
    <row r="40" spans="1:8">
      <c r="A40" s="230">
        <f>A39+1</f>
        <v>19</v>
      </c>
      <c r="C40" s="249" t="s">
        <v>29</v>
      </c>
      <c r="D40" s="249"/>
      <c r="E40" s="250"/>
      <c r="F40" s="201" t="str">
        <f>"(Line "&amp;A38&amp;" * Line "&amp;A39&amp;")"</f>
        <v>(Line 17 * Line 18)</v>
      </c>
      <c r="G40" s="739"/>
      <c r="H40" s="209">
        <f>+H38*H39</f>
        <v>17800417.943063658</v>
      </c>
    </row>
    <row r="41" spans="1:8">
      <c r="A41" s="230"/>
      <c r="C41" s="242"/>
      <c r="H41" s="207"/>
    </row>
    <row r="42" spans="1:8" s="9" customFormat="1" ht="21" thickBot="1">
      <c r="A42" s="230">
        <f>+A40+1</f>
        <v>20</v>
      </c>
      <c r="B42" s="251" t="s">
        <v>30</v>
      </c>
      <c r="C42" s="251"/>
      <c r="D42" s="251"/>
      <c r="E42" s="263"/>
      <c r="F42" s="254" t="str">
        <f>"(Line "&amp;A33&amp;" + Line "&amp;A40&amp;")"</f>
        <v>(Line 13 + Line 19)</v>
      </c>
      <c r="G42" s="738"/>
      <c r="H42" s="473">
        <f>+H33+H40</f>
        <v>788407647.75990045</v>
      </c>
    </row>
    <row r="43" spans="1:8" ht="21" thickTop="1">
      <c r="A43" s="230"/>
    </row>
    <row r="44" spans="1:8">
      <c r="A44" s="230"/>
      <c r="B44" s="242" t="s">
        <v>31</v>
      </c>
      <c r="C44" s="242"/>
      <c r="D44" s="201"/>
      <c r="E44" s="248"/>
      <c r="F44" s="201"/>
      <c r="G44" s="751"/>
      <c r="H44" s="201"/>
    </row>
    <row r="45" spans="1:8">
      <c r="A45" s="230"/>
      <c r="F45" s="201"/>
      <c r="G45" s="750"/>
      <c r="H45" s="201"/>
    </row>
    <row r="46" spans="1:8">
      <c r="A46" s="230">
        <f>+A42+1</f>
        <v>21</v>
      </c>
      <c r="B46" s="230"/>
      <c r="C46" s="197" t="s">
        <v>32</v>
      </c>
      <c r="E46" s="248" t="str">
        <f>"(Note "&amp;B$297&amp;")"</f>
        <v>(Note A)</v>
      </c>
      <c r="F46" s="201" t="str">
        <f>"(Attachment 4, Line "&amp;'4 - Cost Support'!A23&amp;")"</f>
        <v>(Attachment 4, Line 11)</v>
      </c>
      <c r="H46" s="201">
        <f>+'4 - Cost Support'!T23</f>
        <v>-241798524.10023594</v>
      </c>
    </row>
    <row r="47" spans="1:8">
      <c r="A47" s="230"/>
      <c r="B47" s="230"/>
      <c r="E47" s="248"/>
      <c r="F47" s="201"/>
      <c r="H47" s="201"/>
    </row>
    <row r="48" spans="1:8">
      <c r="A48" s="230">
        <f>A46+1</f>
        <v>22</v>
      </c>
      <c r="B48" s="230"/>
      <c r="C48" s="197" t="s">
        <v>33</v>
      </c>
      <c r="E48" s="248" t="str">
        <f>"(Note "&amp;B$297&amp;")"</f>
        <v>(Note A)</v>
      </c>
      <c r="F48" s="201" t="str">
        <f>"(Attachment 4, Line "&amp;'4 - Cost Support'!A24&amp;")"</f>
        <v>(Attachment 4, Line 12)</v>
      </c>
      <c r="H48" s="201">
        <f>+'4 - Cost Support'!T24</f>
        <v>-13446885.208007054</v>
      </c>
    </row>
    <row r="49" spans="1:8">
      <c r="A49" s="230">
        <f>+A48+1</f>
        <v>23</v>
      </c>
      <c r="B49" s="230"/>
      <c r="C49" s="197" t="s">
        <v>34</v>
      </c>
      <c r="E49" s="248" t="str">
        <f>"(Note "&amp;B$297&amp;")"</f>
        <v>(Note A)</v>
      </c>
      <c r="F49" s="201" t="str">
        <f>"(Attachment 4, Line "&amp;'4 - Cost Support'!A12&amp;")"</f>
        <v>(Attachment 4, Line 4)</v>
      </c>
      <c r="H49" s="201">
        <f>+'4 - Cost Support'!T12</f>
        <v>-41571684.734095886</v>
      </c>
    </row>
    <row r="50" spans="1:8">
      <c r="A50" s="230">
        <f>+A49+1</f>
        <v>24</v>
      </c>
      <c r="B50" s="230"/>
      <c r="C50" s="255" t="s">
        <v>35</v>
      </c>
      <c r="D50" s="255"/>
      <c r="E50" s="256" t="str">
        <f>"(Note "&amp;B$297&amp;")"</f>
        <v>(Note A)</v>
      </c>
      <c r="F50" s="204" t="str">
        <f>"(Attachment 4, Line "&amp;'4 - Cost Support'!A25&amp;")"</f>
        <v>(Attachment 4, Line 13)</v>
      </c>
      <c r="G50" s="740"/>
      <c r="H50" s="204">
        <f>+'4 - Cost Support'!T25</f>
        <v>0</v>
      </c>
    </row>
    <row r="51" spans="1:8">
      <c r="A51" s="230">
        <f>+A50+1</f>
        <v>25</v>
      </c>
      <c r="B51" s="230"/>
      <c r="C51" s="197" t="s">
        <v>36</v>
      </c>
      <c r="E51" s="205"/>
      <c r="F51" s="201" t="str">
        <f>"(Line "&amp;A48&amp;" + "&amp;A49&amp;" + "&amp;A50&amp;")"</f>
        <v>(Line 22 + 23 + 24)</v>
      </c>
      <c r="G51" s="750"/>
      <c r="H51" s="201">
        <f>+H48+H50+H49</f>
        <v>-55018569.942102939</v>
      </c>
    </row>
    <row r="52" spans="1:8">
      <c r="A52" s="230">
        <f>+A51+1</f>
        <v>26</v>
      </c>
      <c r="B52" s="230"/>
      <c r="C52" s="197" t="str">
        <f>+C39</f>
        <v>Wage &amp; Salary Allocator</v>
      </c>
      <c r="E52" s="205"/>
      <c r="F52" s="204" t="str">
        <f>"(Line "&amp;A$16&amp;")"</f>
        <v>(Line 5)</v>
      </c>
      <c r="G52" s="750"/>
      <c r="H52" s="474">
        <f>H16</f>
        <v>0.12508709030780155</v>
      </c>
    </row>
    <row r="53" spans="1:8">
      <c r="A53" s="230">
        <f>+A52+1</f>
        <v>27</v>
      </c>
      <c r="C53" s="249" t="s">
        <v>37</v>
      </c>
      <c r="D53" s="249"/>
      <c r="E53" s="257"/>
      <c r="F53" s="201" t="str">
        <f>"(Line "&amp;A51&amp;" * Line "&amp;A52&amp;")"</f>
        <v>(Line 25 * Line 26)</v>
      </c>
      <c r="G53" s="739"/>
      <c r="H53" s="209">
        <f>H51*H52</f>
        <v>-6882112.8269539261</v>
      </c>
    </row>
    <row r="54" spans="1:8">
      <c r="A54" s="230"/>
      <c r="F54" s="230"/>
      <c r="H54" s="207"/>
    </row>
    <row r="55" spans="1:8" ht="21" thickBot="1">
      <c r="A55" s="230">
        <f>+A53+1</f>
        <v>28</v>
      </c>
      <c r="B55" s="251" t="s">
        <v>38</v>
      </c>
      <c r="C55" s="251"/>
      <c r="D55" s="251"/>
      <c r="E55" s="263"/>
      <c r="F55" s="265" t="str">
        <f>"(Lines "&amp;A46&amp;" + "&amp;A53&amp;")"</f>
        <v>(Lines 21 + 27)</v>
      </c>
      <c r="G55" s="738"/>
      <c r="H55" s="473">
        <f>+H46+H53</f>
        <v>-248680636.92718986</v>
      </c>
    </row>
    <row r="56" spans="1:8" ht="21" thickTop="1">
      <c r="A56" s="230"/>
      <c r="H56" s="268"/>
    </row>
    <row r="57" spans="1:8" ht="21" thickBot="1">
      <c r="A57" s="230">
        <f>+A55+1</f>
        <v>29</v>
      </c>
      <c r="B57" s="251" t="s">
        <v>39</v>
      </c>
      <c r="C57" s="251"/>
      <c r="D57" s="251"/>
      <c r="E57" s="263"/>
      <c r="F57" s="254" t="str">
        <f>"(Line "&amp;A42&amp;" - Line "&amp;A55&amp;")"</f>
        <v>(Line 20 - Line 28)</v>
      </c>
      <c r="G57" s="738"/>
      <c r="H57" s="473">
        <f>H42+H55</f>
        <v>539727010.83271062</v>
      </c>
    </row>
    <row r="58" spans="1:8" ht="21" thickTop="1">
      <c r="A58" s="230"/>
    </row>
    <row r="59" spans="1:8">
      <c r="A59" s="244" t="s">
        <v>40</v>
      </c>
      <c r="B59" s="206"/>
      <c r="C59" s="206"/>
      <c r="D59" s="206"/>
      <c r="E59" s="246"/>
      <c r="F59" s="206"/>
      <c r="G59" s="749"/>
      <c r="H59" s="206"/>
    </row>
    <row r="60" spans="1:8">
      <c r="A60" s="266"/>
      <c r="B60" s="267"/>
      <c r="C60" s="267"/>
      <c r="D60" s="267"/>
      <c r="H60" s="532"/>
    </row>
    <row r="61" spans="1:8">
      <c r="A61" s="230"/>
      <c r="B61" s="243" t="s">
        <v>41</v>
      </c>
      <c r="E61" s="268"/>
      <c r="H61" s="201"/>
    </row>
    <row r="62" spans="1:8" ht="22.5" customHeight="1">
      <c r="A62" s="230">
        <f>+A57+1</f>
        <v>30</v>
      </c>
      <c r="B62" s="243"/>
      <c r="C62" s="242" t="s">
        <v>42</v>
      </c>
      <c r="D62" s="268"/>
      <c r="E62" s="248" t="str">
        <f>"(Notes "&amp;B$308&amp;" and "&amp;B312&amp;")"</f>
        <v>(Notes L and P)</v>
      </c>
      <c r="F62" s="489" t="str">
        <f>"(Attachment 1A, Line "&amp;'1A - ADIT'!A19&amp;")"</f>
        <v>(Attachment 1A, Line 11)</v>
      </c>
      <c r="H62" s="207">
        <f>+'1A - ADIT'!H19</f>
        <v>-45554588.053773448</v>
      </c>
    </row>
    <row r="63" spans="1:8">
      <c r="A63" s="230"/>
      <c r="C63" s="243"/>
      <c r="H63" s="207"/>
    </row>
    <row r="64" spans="1:8">
      <c r="A64" s="230"/>
      <c r="B64" s="243" t="s">
        <v>41</v>
      </c>
      <c r="H64" s="207"/>
    </row>
    <row r="65" spans="1:8">
      <c r="A65" s="230">
        <f>+A62+1</f>
        <v>31</v>
      </c>
      <c r="B65" s="243"/>
      <c r="C65" s="242" t="s">
        <v>43</v>
      </c>
      <c r="E65" s="248" t="str">
        <f>"(Note "&amp;B308&amp;" and "&amp;B310&amp;")"</f>
        <v>(Note L and N)</v>
      </c>
      <c r="F65" s="201" t="str">
        <f>"(Attachment 4, Line "&amp;'4 - Cost Support'!A203&amp;")"</f>
        <v>(Attachment 4, Line 78)</v>
      </c>
      <c r="H65" s="207">
        <f>+'4 - Cost Support'!T203</f>
        <v>-22453781.493407778</v>
      </c>
    </row>
    <row r="66" spans="1:8">
      <c r="A66" s="230"/>
      <c r="B66" s="243"/>
      <c r="C66" s="242"/>
      <c r="E66" s="248"/>
      <c r="H66" s="207"/>
    </row>
    <row r="67" spans="1:8">
      <c r="A67" s="230"/>
      <c r="B67" s="242" t="s">
        <v>44</v>
      </c>
      <c r="E67" s="197"/>
    </row>
    <row r="68" spans="1:8">
      <c r="A68" s="230">
        <f>+A65+1</f>
        <v>32</v>
      </c>
      <c r="B68" s="227"/>
      <c r="C68" s="197" t="s">
        <v>45</v>
      </c>
      <c r="D68" s="248"/>
      <c r="E68" s="248" t="str">
        <f>"(Note "&amp;B$297&amp;" &amp; "&amp;B$302&amp;")"</f>
        <v>(Note A &amp; F)</v>
      </c>
      <c r="F68" s="201" t="str">
        <f>"(Attachment 5, Line "&amp;'5 - CWIP in Rate Base'!A27&amp;")"</f>
        <v>(Attachment 5, Line 17)</v>
      </c>
      <c r="H68" s="201">
        <f>+'5 - CWIP in Rate Base'!S27</f>
        <v>91368875.647034615</v>
      </c>
    </row>
    <row r="69" spans="1:8">
      <c r="A69" s="230"/>
      <c r="B69" s="227"/>
      <c r="D69" s="248"/>
      <c r="E69" s="248"/>
      <c r="F69" s="228"/>
      <c r="H69" s="201"/>
    </row>
    <row r="70" spans="1:8" s="46" customFormat="1">
      <c r="A70" s="230"/>
      <c r="B70" s="242" t="s">
        <v>46</v>
      </c>
      <c r="C70" s="197"/>
      <c r="D70" s="197"/>
      <c r="E70" s="197"/>
      <c r="F70" s="197"/>
      <c r="G70" s="737"/>
      <c r="H70" s="197"/>
    </row>
    <row r="71" spans="1:8" s="46" customFormat="1">
      <c r="A71" s="230">
        <f>+A68+1</f>
        <v>33</v>
      </c>
      <c r="B71" s="227"/>
      <c r="C71" s="197" t="s">
        <v>47</v>
      </c>
      <c r="D71" s="248"/>
      <c r="E71" s="248" t="str">
        <f>"(Note "&amp;B297&amp;" and "&amp;B$309&amp;")"</f>
        <v>(Note A and M)</v>
      </c>
      <c r="F71" s="201" t="str">
        <f>"(Attachment 4, Line "&amp;'4 - Cost Support'!A195&amp;")"</f>
        <v>(Attachment 4, Line 77)</v>
      </c>
      <c r="G71" s="737"/>
      <c r="H71" s="201">
        <f>+'4 - Cost Support'!K195</f>
        <v>0</v>
      </c>
    </row>
    <row r="72" spans="1:8">
      <c r="A72" s="230"/>
      <c r="B72" s="230"/>
      <c r="D72" s="248"/>
      <c r="E72" s="228"/>
      <c r="G72" s="750"/>
    </row>
    <row r="73" spans="1:8">
      <c r="A73" s="230">
        <f>+A71+1</f>
        <v>34</v>
      </c>
      <c r="B73" s="242" t="s">
        <v>48</v>
      </c>
      <c r="D73" s="269"/>
      <c r="E73" s="248" t="str">
        <f>"(Note "&amp;B$298&amp;" &amp; "&amp;B$308&amp;")"</f>
        <v>(Note B &amp; L)</v>
      </c>
      <c r="F73" s="201" t="str">
        <f>"(Attachment 4, Line "&amp;'4 - Cost Support'!A40&amp;")"</f>
        <v>(Attachment 4, Line 17)</v>
      </c>
      <c r="H73" s="201">
        <f>'4 - Cost Support'!S40</f>
        <v>42369</v>
      </c>
    </row>
    <row r="74" spans="1:8">
      <c r="A74" s="230"/>
      <c r="B74" s="230"/>
      <c r="D74" s="248"/>
      <c r="E74" s="228"/>
      <c r="G74" s="750"/>
    </row>
    <row r="75" spans="1:8">
      <c r="A75" s="230"/>
      <c r="B75" s="243" t="s">
        <v>49</v>
      </c>
      <c r="C75" s="228"/>
      <c r="F75" s="270"/>
      <c r="G75" s="750"/>
    </row>
    <row r="76" spans="1:8">
      <c r="A76" s="230">
        <f>+A73+1</f>
        <v>35</v>
      </c>
      <c r="B76" s="271"/>
      <c r="C76" s="228" t="s">
        <v>50</v>
      </c>
      <c r="D76" s="248"/>
      <c r="E76" s="248" t="str">
        <f>"(Note "&amp;B$297&amp;")"</f>
        <v>(Note A)</v>
      </c>
      <c r="F76" s="201" t="str">
        <f>"(Attachment 4, Line "&amp;'4 - Cost Support'!A51&amp;")"</f>
        <v>(Attachment 4, Line 22)</v>
      </c>
      <c r="G76" s="750"/>
      <c r="H76" s="207">
        <f>+'4 - Cost Support'!T51</f>
        <v>18769623.153846152</v>
      </c>
    </row>
    <row r="77" spans="1:8">
      <c r="A77" s="230">
        <f>+A76+1</f>
        <v>36</v>
      </c>
      <c r="B77" s="271"/>
      <c r="C77" s="261" t="s">
        <v>28</v>
      </c>
      <c r="D77" s="261"/>
      <c r="E77" s="273"/>
      <c r="F77" s="204" t="str">
        <f>"(Line "&amp;A$16&amp;")"</f>
        <v>(Line 5)</v>
      </c>
      <c r="G77" s="752"/>
      <c r="H77" s="459">
        <f>+H16</f>
        <v>0.12508709030780155</v>
      </c>
    </row>
    <row r="78" spans="1:8">
      <c r="A78" s="230">
        <f>+A77+1</f>
        <v>37</v>
      </c>
      <c r="B78" s="271"/>
      <c r="C78" s="228" t="s">
        <v>51</v>
      </c>
      <c r="F78" s="201" t="str">
        <f>"(Line "&amp;A76&amp;" * Line "&amp;A77&amp;")"</f>
        <v>(Line 35 * Line 36)</v>
      </c>
      <c r="G78" s="750"/>
      <c r="H78" s="209">
        <f>H76*H77</f>
        <v>2347837.5464885565</v>
      </c>
    </row>
    <row r="79" spans="1:8">
      <c r="A79" s="230"/>
      <c r="B79" s="268"/>
      <c r="C79" s="228"/>
      <c r="F79" s="215"/>
      <c r="G79" s="750"/>
      <c r="H79" s="208"/>
    </row>
    <row r="80" spans="1:8">
      <c r="A80" s="230"/>
      <c r="B80" s="243" t="s">
        <v>52</v>
      </c>
      <c r="E80" s="272"/>
      <c r="F80" s="215"/>
      <c r="G80" s="750"/>
      <c r="H80" s="208"/>
    </row>
    <row r="81" spans="1:8">
      <c r="A81" s="230">
        <f>+A78+1</f>
        <v>38</v>
      </c>
      <c r="C81" s="197" t="s">
        <v>53</v>
      </c>
      <c r="E81" s="248" t="str">
        <f>"(Note "&amp;B$297&amp;")"</f>
        <v>(Note A)</v>
      </c>
      <c r="F81" s="201" t="str">
        <f>"(Attachment 4, Line "&amp;'4 - Cost Support'!A59&amp;")"</f>
        <v>(Attachment 4, Line 23)</v>
      </c>
      <c r="H81" s="201">
        <f>+'4 - Cost Support'!T59</f>
        <v>119007.53846153847</v>
      </c>
    </row>
    <row r="82" spans="1:8">
      <c r="A82" s="230">
        <f>+A81+1</f>
        <v>39</v>
      </c>
      <c r="B82" s="268"/>
      <c r="C82" s="261" t="s">
        <v>28</v>
      </c>
      <c r="D82" s="261"/>
      <c r="E82" s="273"/>
      <c r="F82" s="204" t="str">
        <f>"(Line "&amp;A$16&amp;")"</f>
        <v>(Line 5)</v>
      </c>
      <c r="G82" s="752"/>
      <c r="H82" s="459">
        <f>H16</f>
        <v>0.12508709030780155</v>
      </c>
    </row>
    <row r="83" spans="1:8">
      <c r="A83" s="230">
        <f>+A82+1</f>
        <v>40</v>
      </c>
      <c r="B83" s="268"/>
      <c r="C83" s="228" t="s">
        <v>54</v>
      </c>
      <c r="F83" s="201" t="str">
        <f>"(Line "&amp;A81&amp;" * Line "&amp;A82&amp;")"</f>
        <v>(Line 38 * Line 39)</v>
      </c>
      <c r="G83" s="750"/>
      <c r="H83" s="209">
        <f>H81*H82</f>
        <v>14886.306710847628</v>
      </c>
    </row>
    <row r="84" spans="1:8">
      <c r="A84" s="230"/>
      <c r="B84" s="268"/>
      <c r="C84" s="228" t="s">
        <v>55</v>
      </c>
      <c r="E84" s="248" t="str">
        <f>"(Note "&amp;B$297&amp;" &amp; "&amp;B316&amp;")"</f>
        <v>(Note A &amp; T)</v>
      </c>
      <c r="F84" s="201" t="str">
        <f>"(Attachment 4, Line "&amp;'4 - Cost Support'!A61&amp;")"</f>
        <v>(Attachment 4, Line 25)</v>
      </c>
      <c r="G84" s="750"/>
      <c r="H84" s="207">
        <f>+'4 - Cost Support'!T61</f>
        <v>1412260.4615384615</v>
      </c>
    </row>
    <row r="85" spans="1:8">
      <c r="A85" s="230">
        <f>A83+1</f>
        <v>41</v>
      </c>
      <c r="B85" s="268"/>
      <c r="C85" s="228" t="s">
        <v>56</v>
      </c>
      <c r="E85" s="248" t="str">
        <f>"(Note  "&amp;B$297&amp;" )"</f>
        <v>(Note  A )</v>
      </c>
      <c r="F85" s="204" t="str">
        <f>"(Attachment 4, Line "&amp;'4 - Cost Support'!A60&amp;")"</f>
        <v>(Attachment 4, Line 24)</v>
      </c>
      <c r="G85" s="750"/>
      <c r="H85" s="210">
        <f>+'4 - Cost Support'!T60</f>
        <v>124738.30769230769</v>
      </c>
    </row>
    <row r="86" spans="1:8" ht="27.75" customHeight="1">
      <c r="A86" s="230">
        <f>A85+1</f>
        <v>42</v>
      </c>
      <c r="B86" s="268"/>
      <c r="C86" s="249" t="s">
        <v>57</v>
      </c>
      <c r="D86" s="249"/>
      <c r="E86" s="257"/>
      <c r="F86" s="201" t="str">
        <f>"(Line "&amp;A83&amp;" + Line "&amp;A85&amp;")"</f>
        <v>(Line 40 + Line 41)</v>
      </c>
      <c r="G86" s="753"/>
      <c r="H86" s="207">
        <f>H83+H84+H85</f>
        <v>1551885.0759416169</v>
      </c>
    </row>
    <row r="87" spans="1:8" ht="27.75" customHeight="1">
      <c r="A87" s="230"/>
      <c r="B87" s="268"/>
      <c r="F87" s="201"/>
      <c r="G87" s="750"/>
      <c r="H87" s="201"/>
    </row>
    <row r="88" spans="1:8">
      <c r="A88" s="230"/>
      <c r="B88" s="243" t="s">
        <v>58</v>
      </c>
      <c r="F88" s="215"/>
      <c r="G88" s="750"/>
    </row>
    <row r="89" spans="1:8">
      <c r="A89" s="230">
        <f>+A86+1</f>
        <v>43</v>
      </c>
      <c r="B89" s="268"/>
      <c r="C89" s="228" t="s">
        <v>59</v>
      </c>
      <c r="D89" s="228"/>
      <c r="F89" s="201" t="str">
        <f>"(Line "&amp;A$144&amp;")"</f>
        <v>(Line 78)</v>
      </c>
      <c r="G89" s="750"/>
      <c r="H89" s="207">
        <f>H144</f>
        <v>21663238.141285554</v>
      </c>
    </row>
    <row r="90" spans="1:8">
      <c r="A90" s="230">
        <f>+A89+1</f>
        <v>44</v>
      </c>
      <c r="B90" s="268"/>
      <c r="C90" s="228" t="s">
        <v>60</v>
      </c>
      <c r="D90" s="228"/>
      <c r="F90" s="261"/>
      <c r="H90" s="211">
        <v>0</v>
      </c>
    </row>
    <row r="91" spans="1:8" s="9" customFormat="1">
      <c r="A91" s="230">
        <f>+A90+1</f>
        <v>45</v>
      </c>
      <c r="B91" s="262"/>
      <c r="C91" s="274" t="s">
        <v>61</v>
      </c>
      <c r="D91" s="274"/>
      <c r="E91" s="275"/>
      <c r="F91" s="201" t="str">
        <f>"(Line "&amp;A89&amp;" * Line "&amp;A90&amp;")"</f>
        <v>(Line 43 * Line 44)</v>
      </c>
      <c r="G91" s="739"/>
      <c r="H91" s="207">
        <f>H89*H90</f>
        <v>0</v>
      </c>
    </row>
    <row r="92" spans="1:8" s="9" customFormat="1">
      <c r="A92" s="230"/>
      <c r="B92" s="262"/>
      <c r="C92" s="228"/>
      <c r="D92" s="228"/>
      <c r="E92" s="227"/>
      <c r="F92" s="201"/>
      <c r="G92" s="737"/>
      <c r="H92" s="207"/>
    </row>
    <row r="93" spans="1:8" s="9" customFormat="1">
      <c r="A93" s="230"/>
      <c r="B93" s="243" t="s">
        <v>62</v>
      </c>
      <c r="C93" s="228"/>
      <c r="D93" s="228"/>
      <c r="E93" s="227"/>
      <c r="F93" s="201"/>
      <c r="G93" s="737"/>
      <c r="H93" s="207"/>
    </row>
    <row r="94" spans="1:8" s="9" customFormat="1">
      <c r="A94" s="230">
        <f>+A91+1</f>
        <v>46</v>
      </c>
      <c r="B94" s="262"/>
      <c r="C94" s="228" t="s">
        <v>63</v>
      </c>
      <c r="D94" s="228"/>
      <c r="E94" s="248" t="str">
        <f>"(Note  "&amp;B$297&amp;")"</f>
        <v>(Note  A)</v>
      </c>
      <c r="F94" s="201" t="str">
        <f>"(Attachment 4, Line "&amp;'4 - Cost Support'!A212&amp;")"</f>
        <v>(Attachment 4, Line 79)</v>
      </c>
      <c r="G94" s="737"/>
      <c r="H94" s="207">
        <f>+'4 - Cost Support'!T212</f>
        <v>0</v>
      </c>
    </row>
    <row r="95" spans="1:8" s="9" customFormat="1">
      <c r="A95" s="230">
        <f>+A94+1</f>
        <v>47</v>
      </c>
      <c r="B95" s="262"/>
      <c r="C95" s="261" t="s">
        <v>20</v>
      </c>
      <c r="D95" s="261"/>
      <c r="E95" s="386"/>
      <c r="F95" s="204" t="str">
        <f>"(Line "&amp;A$27&amp;")"</f>
        <v>(Line 12)</v>
      </c>
      <c r="G95" s="740"/>
      <c r="H95" s="458">
        <f>+H27</f>
        <v>0.26818076319772116</v>
      </c>
    </row>
    <row r="96" spans="1:8" s="9" customFormat="1">
      <c r="A96" s="230">
        <f>+A95+1</f>
        <v>48</v>
      </c>
      <c r="B96" s="262"/>
      <c r="C96" s="228" t="s">
        <v>64</v>
      </c>
      <c r="D96" s="228"/>
      <c r="E96" s="227"/>
      <c r="F96" s="201" t="str">
        <f>"(Line "&amp;A94&amp;" * Line "&amp;A95&amp;")"</f>
        <v>(Line 46 * Line 47)</v>
      </c>
      <c r="G96" s="737"/>
      <c r="H96" s="207">
        <f>+H94*H95</f>
        <v>0</v>
      </c>
    </row>
    <row r="97" spans="1:8" s="9" customFormat="1">
      <c r="A97" s="230"/>
      <c r="B97" s="262"/>
      <c r="C97" s="228"/>
      <c r="D97" s="228"/>
      <c r="E97" s="227"/>
      <c r="F97" s="201"/>
      <c r="G97" s="737"/>
      <c r="H97" s="207"/>
    </row>
    <row r="98" spans="1:8" s="9" customFormat="1">
      <c r="A98" s="230">
        <f>+A96+1</f>
        <v>49</v>
      </c>
      <c r="B98" s="262"/>
      <c r="C98" s="228" t="s">
        <v>65</v>
      </c>
      <c r="D98" s="228"/>
      <c r="E98" s="248" t="str">
        <f>"(Note  "&amp;B$297&amp;")"</f>
        <v>(Note  A)</v>
      </c>
      <c r="F98" s="201" t="str">
        <f>"(Attachment 4, Line "&amp;'4 - Cost Support'!A213&amp;")"</f>
        <v>(Attachment 4, Line 80)</v>
      </c>
      <c r="G98" s="737"/>
      <c r="H98" s="207">
        <f>+'4 - Cost Support'!T213</f>
        <v>-1275454.076923077</v>
      </c>
    </row>
    <row r="99" spans="1:8" s="9" customFormat="1">
      <c r="A99" s="230">
        <f>+A98+1</f>
        <v>50</v>
      </c>
      <c r="B99" s="262"/>
      <c r="C99" s="228" t="s">
        <v>66</v>
      </c>
      <c r="D99" s="228"/>
      <c r="E99" s="248" t="str">
        <f>"(Note  "&amp;B$297&amp;")"</f>
        <v>(Note  A)</v>
      </c>
      <c r="F99" s="201" t="str">
        <f>"(Attachment 4, Line "&amp;'4 - Cost Support'!A214&amp;")"</f>
        <v>(Attachment 4, Line 81)</v>
      </c>
      <c r="G99" s="737"/>
      <c r="H99" s="387">
        <f>+'4 - Cost Support'!T214</f>
        <v>-1738126.923076923</v>
      </c>
    </row>
    <row r="100" spans="1:8" s="9" customFormat="1">
      <c r="A100" s="230">
        <f>+A99+1</f>
        <v>51</v>
      </c>
      <c r="B100" s="262"/>
      <c r="C100" s="228" t="s">
        <v>67</v>
      </c>
      <c r="D100" s="228"/>
      <c r="E100" s="227"/>
      <c r="F100" s="201" t="str">
        <f>"(Line "&amp;A98&amp;" + Line "&amp;A99&amp;")"</f>
        <v>(Line 49 + Line 50)</v>
      </c>
      <c r="G100" s="737"/>
      <c r="H100" s="207">
        <f>+H98+H99</f>
        <v>-3013581</v>
      </c>
    </row>
    <row r="101" spans="1:8" s="9" customFormat="1">
      <c r="A101" s="230">
        <f>+A100+1</f>
        <v>52</v>
      </c>
      <c r="B101" s="262"/>
      <c r="C101" s="261" t="s">
        <v>68</v>
      </c>
      <c r="D101" s="261"/>
      <c r="E101" s="386"/>
      <c r="F101" s="204" t="str">
        <f>"(Line "&amp;A$16&amp;")"</f>
        <v>(Line 5)</v>
      </c>
      <c r="G101" s="740"/>
      <c r="H101" s="458">
        <f>+H16</f>
        <v>0.12508709030780155</v>
      </c>
    </row>
    <row r="102" spans="1:8" s="9" customFormat="1">
      <c r="A102" s="230">
        <f>+A101+1</f>
        <v>53</v>
      </c>
      <c r="B102" s="262"/>
      <c r="C102" s="228" t="s">
        <v>69</v>
      </c>
      <c r="D102" s="228"/>
      <c r="E102" s="227"/>
      <c r="F102" s="201" t="str">
        <f>"(Line "&amp;A100&amp;" * Line "&amp;A101&amp;")"</f>
        <v>(Line 51 * Line 52)</v>
      </c>
      <c r="G102" s="737"/>
      <c r="H102" s="207">
        <f>+H100*H101</f>
        <v>-376960.0786968749</v>
      </c>
    </row>
    <row r="103" spans="1:8" s="9" customFormat="1">
      <c r="A103" s="230"/>
      <c r="B103" s="262"/>
      <c r="C103" s="228"/>
      <c r="D103" s="228"/>
      <c r="E103" s="227"/>
      <c r="F103" s="201"/>
      <c r="G103" s="737"/>
      <c r="H103" s="207"/>
    </row>
    <row r="104" spans="1:8" s="9" customFormat="1">
      <c r="A104" s="230">
        <f>+A102+1</f>
        <v>54</v>
      </c>
      <c r="B104" s="262"/>
      <c r="C104" s="228" t="s">
        <v>70</v>
      </c>
      <c r="D104" s="228"/>
      <c r="E104" s="248" t="str">
        <f>"(Note  "&amp;B$297&amp;")"</f>
        <v>(Note  A)</v>
      </c>
      <c r="F104" s="201" t="str">
        <f>"(Attachment 4, Line "&amp;'4 - Cost Support'!A215&amp;")"</f>
        <v>(Attachment 4, Line 82)</v>
      </c>
      <c r="G104" s="737"/>
      <c r="H104" s="207">
        <f>+'4 - Cost Support'!T215</f>
        <v>0</v>
      </c>
    </row>
    <row r="105" spans="1:8" s="9" customFormat="1">
      <c r="A105" s="230"/>
      <c r="B105" s="262"/>
      <c r="C105" s="228"/>
      <c r="D105" s="228"/>
      <c r="E105" s="227"/>
      <c r="F105" s="201"/>
      <c r="G105" s="737"/>
      <c r="H105" s="207"/>
    </row>
    <row r="106" spans="1:8" s="9" customFormat="1">
      <c r="A106" s="230">
        <f>+A104+1</f>
        <v>55</v>
      </c>
      <c r="B106" s="243" t="s">
        <v>71</v>
      </c>
      <c r="C106" s="228"/>
      <c r="D106" s="228"/>
      <c r="E106" s="248" t="str">
        <f>"(Note  "&amp;B$308&amp;")"</f>
        <v>(Note  L)</v>
      </c>
      <c r="F106" s="201" t="str">
        <f>"(Attachment 4, Line "&amp;'4 - Cost Support'!A231&amp;")"</f>
        <v>(Attachment 4, Line 86)</v>
      </c>
      <c r="G106" s="737"/>
      <c r="H106" s="207">
        <f>+'4 - Cost Support'!T231</f>
        <v>0</v>
      </c>
    </row>
    <row r="107" spans="1:8" s="9" customFormat="1">
      <c r="A107" s="230"/>
      <c r="B107" s="262"/>
      <c r="C107" s="228"/>
      <c r="D107" s="228"/>
      <c r="E107" s="227"/>
      <c r="F107" s="197"/>
      <c r="G107" s="737"/>
      <c r="H107" s="474"/>
    </row>
    <row r="108" spans="1:8" s="9" customFormat="1">
      <c r="A108" s="230">
        <f>+A106+1</f>
        <v>56</v>
      </c>
      <c r="B108" s="243" t="s">
        <v>72</v>
      </c>
      <c r="C108" s="228"/>
      <c r="D108" s="228"/>
      <c r="E108" s="248" t="str">
        <f>"(Note  "&amp;B$297&amp;")"</f>
        <v>(Note  A)</v>
      </c>
      <c r="F108" s="201" t="str">
        <f>"(Attachment 4, Line "&amp;'4 - Cost Support'!A222&amp;")"</f>
        <v>(Attachment 4, Line 83)</v>
      </c>
      <c r="G108" s="737"/>
      <c r="H108" s="207">
        <f>+'4 - Cost Support'!T222</f>
        <v>-7522.1538461538457</v>
      </c>
    </row>
    <row r="109" spans="1:8" s="9" customFormat="1">
      <c r="A109" s="230"/>
      <c r="B109" s="243"/>
      <c r="C109" s="228"/>
      <c r="D109" s="228"/>
      <c r="E109" s="227"/>
      <c r="F109" s="201"/>
      <c r="G109" s="737"/>
      <c r="H109" s="207"/>
    </row>
    <row r="110" spans="1:8" s="9" customFormat="1">
      <c r="A110" s="230">
        <f>+A108+1</f>
        <v>57</v>
      </c>
      <c r="B110" s="243" t="s">
        <v>73</v>
      </c>
      <c r="C110" s="228"/>
      <c r="D110" s="228"/>
      <c r="E110" s="248" t="str">
        <f>"(Note  "&amp;B$297&amp;")"</f>
        <v>(Note  A)</v>
      </c>
      <c r="F110" s="201" t="str">
        <f>"(Attachment 4, Line "&amp;'4 - Cost Support'!A237&amp;")"</f>
        <v>(Attachment 4, Line 87)</v>
      </c>
      <c r="G110" s="737"/>
      <c r="H110" s="207">
        <f>+'4 - Cost Support'!T237</f>
        <v>-1342261.4652957532</v>
      </c>
    </row>
    <row r="111" spans="1:8">
      <c r="A111" s="230"/>
      <c r="H111" s="201"/>
    </row>
    <row r="112" spans="1:8" ht="64.5" customHeight="1" thickBot="1">
      <c r="A112" s="230">
        <f>+A110+1</f>
        <v>58</v>
      </c>
      <c r="B112" s="251" t="s">
        <v>74</v>
      </c>
      <c r="C112" s="251"/>
      <c r="D112" s="251"/>
      <c r="E112" s="263"/>
      <c r="F112" s="388" t="str">
        <f>"(Lines "&amp;A62&amp;" + "&amp;A65&amp;" + "&amp;A68&amp;" + "&amp;A71&amp;" + "&amp;A73&amp;" + "&amp;A78&amp;" + "&amp;A86&amp;" + "&amp;A91&amp;" + "&amp;A96&amp;" + "&amp;A102&amp;" + "&amp;A104&amp;" + "&amp;A106&amp;" + "&amp;A108&amp;" + "&amp;A110&amp;")"</f>
        <v>(Lines 30 + 31 + 32 + 33 + 34 + 37 + 42 + 45 + 48 + 53 + 54 + 55 + 56 + 57)</v>
      </c>
      <c r="G112" s="741"/>
      <c r="H112" s="546">
        <f>+H62+H65+H68+H71+H73+H78+H86+H91+H96+H102+H104+H106+H108+H110</f>
        <v>25575854.024444789</v>
      </c>
    </row>
    <row r="113" spans="1:8" ht="21" thickTop="1">
      <c r="A113" s="230"/>
      <c r="H113" s="207"/>
    </row>
    <row r="114" spans="1:8" ht="21" thickBot="1">
      <c r="A114" s="277">
        <f>+A112+1</f>
        <v>59</v>
      </c>
      <c r="B114" s="278" t="s">
        <v>75</v>
      </c>
      <c r="C114" s="278"/>
      <c r="D114" s="278"/>
      <c r="E114" s="279"/>
      <c r="F114" s="280" t="str">
        <f>"(Line "&amp;A57&amp;" + Line "&amp;A112&amp;")"</f>
        <v>(Line 29 + Line 58)</v>
      </c>
      <c r="G114" s="742"/>
      <c r="H114" s="475">
        <f>H57+H112</f>
        <v>565302864.85715544</v>
      </c>
    </row>
    <row r="116" spans="1:8">
      <c r="A116" s="244" t="s">
        <v>76</v>
      </c>
      <c r="B116" s="245"/>
      <c r="C116" s="281"/>
      <c r="D116" s="206"/>
      <c r="E116" s="246"/>
      <c r="F116" s="206"/>
      <c r="G116" s="749"/>
      <c r="H116" s="199"/>
    </row>
    <row r="117" spans="1:8">
      <c r="A117" s="197"/>
      <c r="E117" s="227"/>
      <c r="H117" s="532"/>
    </row>
    <row r="118" spans="1:8">
      <c r="A118" s="230"/>
      <c r="B118" s="242" t="s">
        <v>77</v>
      </c>
      <c r="D118" s="201"/>
      <c r="E118" s="205"/>
      <c r="G118" s="750"/>
      <c r="H118" s="201"/>
    </row>
    <row r="119" spans="1:8">
      <c r="A119" s="230">
        <f>+A114+1</f>
        <v>60</v>
      </c>
      <c r="B119" s="230"/>
      <c r="C119" s="197" t="s">
        <v>77</v>
      </c>
      <c r="E119" s="248"/>
      <c r="F119" s="201" t="str">
        <f>"(Attachment 4, Line "&amp;'4 - Cost Support'!A67&amp;")"</f>
        <v>(Attachment 4, Line 26)</v>
      </c>
      <c r="H119" s="201">
        <f>+'4 - Cost Support'!S67</f>
        <v>87667023</v>
      </c>
    </row>
    <row r="120" spans="1:8">
      <c r="A120" s="230">
        <f>+A119+1</f>
        <v>61</v>
      </c>
      <c r="B120" s="230"/>
      <c r="C120" s="197" t="s">
        <v>78</v>
      </c>
      <c r="D120" s="201"/>
      <c r="E120" s="248"/>
      <c r="F120" s="204" t="str">
        <f>"(Attachment 4, Line "&amp;'4 - Cost Support'!A70&amp;")"</f>
        <v>(Attachment 4, Line 29)</v>
      </c>
      <c r="H120" s="201">
        <f>+'4 - Cost Support'!S70</f>
        <v>78115633</v>
      </c>
    </row>
    <row r="121" spans="1:8">
      <c r="A121" s="230">
        <f>1+A120</f>
        <v>62</v>
      </c>
      <c r="C121" s="276" t="s">
        <v>77</v>
      </c>
      <c r="D121" s="249"/>
      <c r="E121" s="257"/>
      <c r="F121" s="201" t="str">
        <f>"(Lines "&amp;A119&amp;" - "&amp;A120&amp;")"</f>
        <v>(Lines 60 - 61)</v>
      </c>
      <c r="G121" s="739"/>
      <c r="H121" s="213">
        <f>+H119-H120</f>
        <v>9551390</v>
      </c>
    </row>
    <row r="122" spans="1:8">
      <c r="A122" s="230"/>
      <c r="B122" s="230"/>
      <c r="C122" s="242"/>
      <c r="E122" s="205"/>
      <c r="H122" s="214"/>
    </row>
    <row r="123" spans="1:8">
      <c r="A123" s="230"/>
      <c r="B123" s="242" t="s">
        <v>79</v>
      </c>
      <c r="E123" s="205"/>
      <c r="H123" s="214"/>
    </row>
    <row r="124" spans="1:8">
      <c r="A124" s="230">
        <f>A121+1</f>
        <v>63</v>
      </c>
      <c r="B124" s="230"/>
      <c r="C124" s="197" t="s">
        <v>80</v>
      </c>
      <c r="E124" s="248" t="str">
        <f>"(Note  "&amp;B303&amp;", "&amp;B318&amp;" &amp; "&amp;B319&amp;")"</f>
        <v>(Note  G, V &amp; W)</v>
      </c>
      <c r="F124" s="201" t="str">
        <f>"(Attachment 4, Line "&amp;'4 - Cost Support'!A83&amp;")"</f>
        <v>(Attachment 4, Line 31)</v>
      </c>
      <c r="H124" s="201">
        <f>+'4 - Cost Support'!S83</f>
        <v>79962621</v>
      </c>
    </row>
    <row r="125" spans="1:8">
      <c r="A125" s="230">
        <f t="shared" ref="A125:A131" si="0">+A124+1</f>
        <v>64</v>
      </c>
      <c r="B125" s="230"/>
      <c r="C125" s="197" t="s">
        <v>81</v>
      </c>
      <c r="D125" s="201"/>
      <c r="E125" s="248"/>
      <c r="F125" s="201" t="str">
        <f>"(Attachment 4, Line "&amp;'4 - Cost Support'!A77&amp;")"</f>
        <v>(Attachment 4, Line 30)</v>
      </c>
      <c r="H125" s="201">
        <v>0</v>
      </c>
    </row>
    <row r="126" spans="1:8">
      <c r="A126" s="230">
        <f t="shared" si="0"/>
        <v>65</v>
      </c>
      <c r="B126" s="230"/>
      <c r="C126" s="197" t="s">
        <v>82</v>
      </c>
      <c r="D126" s="201"/>
      <c r="E126" s="248" t="str">
        <f>"(Note "&amp;B$300&amp;")"</f>
        <v>(Note D)</v>
      </c>
      <c r="F126" s="201" t="str">
        <f>"(Attachment 4, Line "&amp;'4 - Cost Support'!A92&amp;")"</f>
        <v>(Attachment 4, Line 34)</v>
      </c>
      <c r="H126" s="201">
        <v>0</v>
      </c>
    </row>
    <row r="127" spans="1:8" ht="60.75">
      <c r="A127" s="230">
        <f t="shared" si="0"/>
        <v>66</v>
      </c>
      <c r="B127" s="230"/>
      <c r="C127" s="488" t="s">
        <v>83</v>
      </c>
      <c r="D127" s="201"/>
      <c r="E127" s="248" t="str">
        <f>"(Note "&amp;B311&amp;")"</f>
        <v>(Note O)</v>
      </c>
      <c r="F127" s="201" t="str">
        <f>"(Attachment 4, Line "&amp;'4 - Cost Support'!A85&amp;")"</f>
        <v>(Attachment 4, Line 33)</v>
      </c>
      <c r="H127" s="201">
        <f>+'4 - Cost Support'!S85</f>
        <v>79893540</v>
      </c>
    </row>
    <row r="128" spans="1:8" ht="40.5">
      <c r="A128" s="230">
        <f t="shared" si="0"/>
        <v>67</v>
      </c>
      <c r="B128" s="230"/>
      <c r="C128" s="197" t="s">
        <v>84</v>
      </c>
      <c r="E128" s="248" t="str">
        <f>"(Note "&amp;B$299&amp;")"</f>
        <v>(Note C)</v>
      </c>
      <c r="F128" s="698" t="str">
        <f>"(Attachment 4, Line "&amp;'4 - Cost Support'!A100&amp;" &amp; Attachment 4, Line "&amp;'4 - Cost Support'!A101&amp;")"</f>
        <v>(Attachment 4, Line 36 &amp; Attachment 4, Line 37)</v>
      </c>
      <c r="H128" s="201">
        <f>+'4 - Cost Support'!S100+'4 - Cost Support'!S101</f>
        <v>0</v>
      </c>
    </row>
    <row r="129" spans="1:8">
      <c r="A129" s="230">
        <f t="shared" si="0"/>
        <v>68</v>
      </c>
      <c r="B129" s="230"/>
      <c r="C129" s="276" t="s">
        <v>85</v>
      </c>
      <c r="D129" s="249"/>
      <c r="E129" s="250"/>
      <c r="F129" s="201" t="str">
        <f>"(Lines "&amp;A124&amp;" - "&amp;A125&amp;" - "&amp;A126&amp;" - "&amp;A127&amp;" - "&amp;A128&amp;")"</f>
        <v>(Lines 63 - 64 - 65 - 66 - 67)</v>
      </c>
      <c r="G129" s="739"/>
      <c r="H129" s="202">
        <f>+H124-SUM(H125:H128)</f>
        <v>69081</v>
      </c>
    </row>
    <row r="130" spans="1:8">
      <c r="A130" s="230">
        <f t="shared" si="0"/>
        <v>69</v>
      </c>
      <c r="B130" s="230"/>
      <c r="C130" s="261" t="s">
        <v>28</v>
      </c>
      <c r="D130" s="228"/>
      <c r="F130" s="255" t="str">
        <f>"(Line "&amp;A$16&amp;")"</f>
        <v>(Line 5)</v>
      </c>
      <c r="G130" s="750"/>
      <c r="H130" s="459">
        <f>H16</f>
        <v>0.12508709030780155</v>
      </c>
    </row>
    <row r="131" spans="1:8">
      <c r="A131" s="230">
        <f t="shared" si="0"/>
        <v>70</v>
      </c>
      <c r="B131" s="230"/>
      <c r="C131" s="276" t="s">
        <v>86</v>
      </c>
      <c r="D131" s="249"/>
      <c r="E131" s="250"/>
      <c r="F131" s="201" t="str">
        <f>"(Line "&amp;A129&amp;" * Line "&amp;A130&amp;")"</f>
        <v>(Line 68 * Line 69)</v>
      </c>
      <c r="G131" s="739"/>
      <c r="H131" s="216">
        <f>H129*H130</f>
        <v>8641.141285553238</v>
      </c>
    </row>
    <row r="132" spans="1:8">
      <c r="A132" s="230"/>
      <c r="B132" s="230"/>
      <c r="C132" s="242"/>
      <c r="E132" s="205"/>
      <c r="H132" s="201"/>
    </row>
    <row r="133" spans="1:8">
      <c r="A133" s="230"/>
      <c r="B133" s="242" t="s">
        <v>87</v>
      </c>
      <c r="E133" s="205"/>
      <c r="H133" s="201"/>
    </row>
    <row r="134" spans="1:8">
      <c r="A134" s="230">
        <f>+A131+1</f>
        <v>71</v>
      </c>
      <c r="B134" s="268"/>
      <c r="C134" s="228" t="s">
        <v>88</v>
      </c>
      <c r="D134" s="248"/>
      <c r="E134" s="248" t="str">
        <f>"(Note "&amp;B$301&amp;")"</f>
        <v>(Note E)</v>
      </c>
      <c r="F134" s="201" t="str">
        <f>"(Attachment 4, Line "&amp;'4 - Cost Support'!A93&amp;")"</f>
        <v>(Attachment 4, Line 35)</v>
      </c>
      <c r="H134" s="201"/>
    </row>
    <row r="135" spans="1:8">
      <c r="A135" s="230">
        <f>+A134+1</f>
        <v>72</v>
      </c>
      <c r="B135" s="268"/>
      <c r="C135" s="255" t="s">
        <v>89</v>
      </c>
      <c r="D135" s="282"/>
      <c r="E135" s="256" t="str">
        <f>"(Note "&amp;B311&amp;")"</f>
        <v>(Note O)</v>
      </c>
      <c r="F135" s="204" t="str">
        <f>"(Attachment 4, Line "&amp;'4 - Cost Support'!A84&amp;")"</f>
        <v>(Attachment 4, Line 32)</v>
      </c>
      <c r="G135" s="740"/>
      <c r="H135" s="204">
        <f>+'4 - Cost Support'!S84</f>
        <v>12103207</v>
      </c>
    </row>
    <row r="136" spans="1:8">
      <c r="A136" s="230">
        <f>+A135+1</f>
        <v>73</v>
      </c>
      <c r="B136" s="268"/>
      <c r="C136" s="228" t="s">
        <v>90</v>
      </c>
      <c r="E136" s="272"/>
      <c r="F136" s="201" t="str">
        <f>"(Line "&amp;A134&amp;" + Line "&amp;A135&amp;")"</f>
        <v>(Line 71 + Line 72)</v>
      </c>
      <c r="H136" s="207">
        <f>SUM(H134:H135)</f>
        <v>12103207</v>
      </c>
    </row>
    <row r="137" spans="1:8">
      <c r="A137" s="230"/>
      <c r="B137" s="268"/>
      <c r="C137" s="228"/>
      <c r="E137" s="272"/>
      <c r="F137" s="228"/>
      <c r="H137" s="215"/>
    </row>
    <row r="138" spans="1:8">
      <c r="A138" s="230">
        <f>+A136+1</f>
        <v>74</v>
      </c>
      <c r="B138" s="268"/>
      <c r="C138" s="228" t="s">
        <v>91</v>
      </c>
      <c r="E138" s="248"/>
      <c r="F138" s="228" t="str">
        <f>"(Line "&amp;A125&amp;")"</f>
        <v>(Line 64)</v>
      </c>
      <c r="H138" s="207">
        <f>H125</f>
        <v>0</v>
      </c>
    </row>
    <row r="139" spans="1:8">
      <c r="A139" s="230">
        <f>+A138+1</f>
        <v>75</v>
      </c>
      <c r="B139" s="230"/>
      <c r="C139" s="228" t="s">
        <v>20</v>
      </c>
      <c r="D139" s="228"/>
      <c r="F139" s="204" t="str">
        <f>"(Line "&amp;A$27&amp;")"</f>
        <v>(Line 12)</v>
      </c>
      <c r="G139" s="750"/>
      <c r="H139" s="459">
        <f>H27</f>
        <v>0.26818076319772116</v>
      </c>
    </row>
    <row r="140" spans="1:8">
      <c r="A140" s="230">
        <f>+A139+1</f>
        <v>76</v>
      </c>
      <c r="B140" s="230"/>
      <c r="C140" s="276" t="s">
        <v>64</v>
      </c>
      <c r="D140" s="249"/>
      <c r="E140" s="250"/>
      <c r="F140" s="201" t="str">
        <f>"(Line "&amp;A138&amp;" * Line "&amp;A139&amp;")"</f>
        <v>(Line 74 * Line 75)</v>
      </c>
      <c r="G140" s="753"/>
      <c r="H140" s="216">
        <f>+H138*H139</f>
        <v>0</v>
      </c>
    </row>
    <row r="141" spans="1:8">
      <c r="A141" s="230"/>
      <c r="B141" s="230"/>
      <c r="C141" s="242"/>
      <c r="E141" s="205"/>
      <c r="F141" s="201"/>
      <c r="G141" s="750"/>
      <c r="H141" s="212"/>
    </row>
    <row r="142" spans="1:8">
      <c r="A142" s="230">
        <f>+A140+1</f>
        <v>77</v>
      </c>
      <c r="B142" s="230"/>
      <c r="C142" s="242" t="s">
        <v>92</v>
      </c>
      <c r="E142" s="205"/>
      <c r="F142" s="201" t="str">
        <f>"(Lines "&amp;A131&amp;" + "&amp;A136&amp;" + "&amp;A140&amp;")"</f>
        <v>(Lines 70 + 73 + 76)</v>
      </c>
      <c r="H142" s="207">
        <f>+H131+H136+H140</f>
        <v>12111848.141285554</v>
      </c>
    </row>
    <row r="143" spans="1:8">
      <c r="A143" s="230"/>
      <c r="B143" s="230"/>
      <c r="C143" s="242"/>
      <c r="E143" s="205"/>
      <c r="F143" s="201"/>
      <c r="H143" s="201"/>
    </row>
    <row r="144" spans="1:8" ht="21" thickBot="1">
      <c r="A144" s="230">
        <f>+A142+1</f>
        <v>78</v>
      </c>
      <c r="B144" s="230"/>
      <c r="C144" s="278" t="s">
        <v>93</v>
      </c>
      <c r="D144" s="283"/>
      <c r="E144" s="284"/>
      <c r="F144" s="217" t="str">
        <f>"(Lines "&amp;A121&amp;" + "&amp;A142&amp;")"</f>
        <v>(Lines 62 + 77)</v>
      </c>
      <c r="G144" s="742"/>
      <c r="H144" s="475">
        <f>+H121+H142</f>
        <v>21663238.141285554</v>
      </c>
    </row>
    <row r="145" spans="1:8">
      <c r="B145" s="230"/>
      <c r="C145" s="242"/>
      <c r="E145" s="205"/>
      <c r="H145" s="203"/>
    </row>
    <row r="146" spans="1:8">
      <c r="A146" s="244" t="s">
        <v>94</v>
      </c>
      <c r="B146" s="245"/>
      <c r="C146" s="281"/>
      <c r="D146" s="206"/>
      <c r="E146" s="246"/>
      <c r="F146" s="206"/>
      <c r="G146" s="749"/>
      <c r="H146" s="199"/>
    </row>
    <row r="147" spans="1:8">
      <c r="A147" s="242"/>
      <c r="B147" s="230"/>
      <c r="C147" s="242"/>
      <c r="E147" s="205"/>
      <c r="H147" s="203"/>
    </row>
    <row r="148" spans="1:8">
      <c r="A148" s="230"/>
      <c r="B148" s="243" t="s">
        <v>95</v>
      </c>
      <c r="F148" s="268"/>
      <c r="H148" s="218"/>
    </row>
    <row r="149" spans="1:8">
      <c r="A149" s="230">
        <f>+A144+1</f>
        <v>79</v>
      </c>
      <c r="B149" s="268"/>
      <c r="C149" s="228" t="s">
        <v>96</v>
      </c>
      <c r="E149" s="248" t="str">
        <f>"(Note "&amp;B$303&amp;")"</f>
        <v>(Note G)</v>
      </c>
      <c r="F149" s="201" t="str">
        <f>"(Attachment 4, Line "&amp;'4 - Cost Support'!A108&amp;")"</f>
        <v>(Attachment 4, Line 38)</v>
      </c>
      <c r="H149" s="207">
        <f>+'4 - Cost Support'!S108</f>
        <v>14745519.818264062</v>
      </c>
    </row>
    <row r="150" spans="1:8">
      <c r="A150" s="230">
        <f>+A149+1</f>
        <v>80</v>
      </c>
      <c r="B150" s="268"/>
      <c r="C150" s="228" t="s">
        <v>97</v>
      </c>
      <c r="E150" s="248" t="str">
        <f>"(Note "&amp;B$309&amp;")"</f>
        <v>(Note M)</v>
      </c>
      <c r="F150" s="201" t="str">
        <f>"(Attachment 4, Line "&amp;'4 - Cost Support'!A192&amp;")"</f>
        <v>(Attachment 4, Line 75)</v>
      </c>
      <c r="H150" s="207">
        <v>0</v>
      </c>
    </row>
    <row r="151" spans="1:8">
      <c r="A151" s="230"/>
      <c r="B151" s="268"/>
      <c r="C151" s="228"/>
      <c r="E151" s="248"/>
      <c r="F151" s="228"/>
      <c r="H151" s="207"/>
    </row>
    <row r="152" spans="1:8">
      <c r="A152" s="230">
        <f>+A150+1</f>
        <v>81</v>
      </c>
      <c r="B152" s="268"/>
      <c r="C152" s="228" t="s">
        <v>98</v>
      </c>
      <c r="E152" s="248" t="str">
        <f>"(Note "&amp;B$303&amp;")"</f>
        <v>(Note G)</v>
      </c>
      <c r="F152" s="201" t="str">
        <f>"(Attachment 4, Line "&amp;'4 - Cost Support'!A109&amp;")"</f>
        <v>(Attachment 4, Line 39)</v>
      </c>
      <c r="H152" s="207">
        <f>+'4 - Cost Support'!S109</f>
        <v>2377883.6841893797</v>
      </c>
    </row>
    <row r="153" spans="1:8">
      <c r="A153" s="230">
        <f>+A152+1</f>
        <v>82</v>
      </c>
      <c r="B153" s="268"/>
      <c r="C153" s="261" t="s">
        <v>99</v>
      </c>
      <c r="D153" s="255"/>
      <c r="E153" s="256" t="str">
        <f>"(Note "&amp;B297&amp;" &amp; "&amp;B$303&amp;")"</f>
        <v>(Note A &amp; G)</v>
      </c>
      <c r="F153" s="204" t="str">
        <f>"(Attachment 4, Line "&amp;'4 - Cost Support'!A110&amp;")"</f>
        <v>(Attachment 4, Line 40)</v>
      </c>
      <c r="G153" s="740"/>
      <c r="H153" s="204">
        <f>+'4 - Cost Support'!S110</f>
        <v>6958424.4175460394</v>
      </c>
    </row>
    <row r="154" spans="1:8">
      <c r="A154" s="230">
        <f>+A153+1</f>
        <v>83</v>
      </c>
      <c r="B154" s="268"/>
      <c r="C154" s="228" t="s">
        <v>67</v>
      </c>
      <c r="F154" s="201" t="str">
        <f>"(Line "&amp;A152&amp;" + Line "&amp;A153&amp;")"</f>
        <v>(Line 81 + Line 82)</v>
      </c>
      <c r="H154" s="207">
        <f>+H152+H153</f>
        <v>9336308.1017354187</v>
      </c>
    </row>
    <row r="155" spans="1:8">
      <c r="A155" s="230">
        <f>+A154+1</f>
        <v>84</v>
      </c>
      <c r="B155" s="268"/>
      <c r="C155" s="261" t="s">
        <v>28</v>
      </c>
      <c r="D155" s="261"/>
      <c r="E155" s="273"/>
      <c r="F155" s="255" t="str">
        <f>"(Line "&amp;A$16&amp;")"</f>
        <v>(Line 5)</v>
      </c>
      <c r="G155" s="752"/>
      <c r="H155" s="458">
        <f>H16</f>
        <v>0.12508709030780155</v>
      </c>
    </row>
    <row r="156" spans="1:8">
      <c r="A156" s="230">
        <f>+A155+1</f>
        <v>85</v>
      </c>
      <c r="B156" s="268"/>
      <c r="C156" s="228" t="s">
        <v>100</v>
      </c>
      <c r="F156" s="201" t="str">
        <f>"(Line "&amp;A154&amp;" * Line "&amp;A155&amp;")"</f>
        <v>(Line 83 * Line 84)</v>
      </c>
      <c r="G156" s="750"/>
      <c r="H156" s="207">
        <f>H154*H155</f>
        <v>1167851.6146632375</v>
      </c>
    </row>
    <row r="157" spans="1:8">
      <c r="A157" s="272"/>
      <c r="B157" s="285"/>
      <c r="C157" s="228"/>
      <c r="F157" s="228"/>
      <c r="G157" s="750"/>
      <c r="H157" s="219"/>
    </row>
    <row r="158" spans="1:8" s="9" customFormat="1" ht="21" thickBot="1">
      <c r="A158" s="230">
        <f>+A156+1</f>
        <v>86</v>
      </c>
      <c r="B158" s="286" t="s">
        <v>101</v>
      </c>
      <c r="C158" s="286"/>
      <c r="D158" s="278"/>
      <c r="E158" s="279"/>
      <c r="F158" s="286" t="str">
        <f>"(Lines "&amp;A149&amp;" + "&amp;A150&amp;" + "&amp;A156&amp;")"</f>
        <v>(Lines 79 + 80 + 85)</v>
      </c>
      <c r="G158" s="742"/>
      <c r="H158" s="475">
        <f>+H149+H150+H156</f>
        <v>15913371.432927299</v>
      </c>
    </row>
    <row r="159" spans="1:8">
      <c r="H159" s="268"/>
    </row>
    <row r="160" spans="1:8">
      <c r="A160" s="244" t="s">
        <v>102</v>
      </c>
      <c r="B160" s="245"/>
      <c r="C160" s="281"/>
      <c r="D160" s="206"/>
      <c r="E160" s="287"/>
      <c r="F160" s="206"/>
      <c r="G160" s="749"/>
      <c r="H160" s="476"/>
    </row>
    <row r="161" spans="1:8">
      <c r="A161" s="266"/>
      <c r="B161" s="230"/>
      <c r="C161" s="242"/>
      <c r="E161" s="205"/>
      <c r="H161" s="477"/>
    </row>
    <row r="162" spans="1:8">
      <c r="A162" s="230">
        <f>+A158+1</f>
        <v>87</v>
      </c>
      <c r="B162" s="228" t="s">
        <v>103</v>
      </c>
      <c r="C162" s="271"/>
      <c r="E162" s="248"/>
      <c r="F162" s="201" t="str">
        <f>"(Attachment 2, Line "&amp;'2 - Other Taxes'!A29&amp;")"</f>
        <v>(Attachment 2, Line 11)</v>
      </c>
      <c r="H162" s="207">
        <f>+'2 - Other Taxes'!G29</f>
        <v>29952129.461855449</v>
      </c>
    </row>
    <row r="163" spans="1:8">
      <c r="A163" s="230"/>
      <c r="F163" s="228"/>
      <c r="H163" s="268"/>
    </row>
    <row r="164" spans="1:8" ht="21" thickBot="1">
      <c r="A164" s="230">
        <f>+A162+1</f>
        <v>88</v>
      </c>
      <c r="B164" s="278" t="s">
        <v>104</v>
      </c>
      <c r="C164" s="278"/>
      <c r="D164" s="278"/>
      <c r="E164" s="279"/>
      <c r="F164" s="280" t="str">
        <f>"(Line "&amp;A162&amp;")"</f>
        <v>(Line 87)</v>
      </c>
      <c r="G164" s="742"/>
      <c r="H164" s="475">
        <f>H162</f>
        <v>29952129.461855449</v>
      </c>
    </row>
    <row r="165" spans="1:8">
      <c r="A165" s="244" t="s">
        <v>105</v>
      </c>
      <c r="B165" s="245"/>
      <c r="C165" s="281"/>
      <c r="D165" s="206"/>
      <c r="E165" s="246"/>
      <c r="F165" s="206"/>
      <c r="G165" s="749"/>
      <c r="H165" s="199"/>
    </row>
    <row r="166" spans="1:8">
      <c r="B166" s="230"/>
      <c r="C166" s="242"/>
      <c r="E166" s="205"/>
      <c r="H166" s="532"/>
    </row>
    <row r="167" spans="1:8">
      <c r="A167" s="230">
        <f>+A164+1</f>
        <v>89</v>
      </c>
      <c r="B167" s="288" t="s">
        <v>106</v>
      </c>
      <c r="E167" s="248"/>
      <c r="F167" s="201" t="str">
        <f>"(Attachment 4, Line "&amp;'4 - Cost Support'!A132&amp;")"</f>
        <v>(Attachment 4, Line 50)</v>
      </c>
      <c r="G167" s="750"/>
      <c r="H167" s="201">
        <f>+'4 - Cost Support'!S132</f>
        <v>47126483.12979614</v>
      </c>
    </row>
    <row r="168" spans="1:8">
      <c r="A168" s="230"/>
      <c r="B168" s="230"/>
      <c r="C168" s="201"/>
      <c r="G168" s="750"/>
      <c r="H168" s="201"/>
    </row>
    <row r="169" spans="1:8">
      <c r="A169" s="230">
        <f>+A167+1</f>
        <v>90</v>
      </c>
      <c r="B169" s="288" t="s">
        <v>107</v>
      </c>
      <c r="E169" s="248"/>
      <c r="F169" s="201" t="str">
        <f>"(Attachment 4, Line "&amp;'4 - Cost Support'!A133&amp;")"</f>
        <v>(Attachment 4, Line 51)</v>
      </c>
      <c r="G169" s="750"/>
      <c r="H169" s="201">
        <f>+'4 - Cost Support'!S133</f>
        <v>0</v>
      </c>
    </row>
    <row r="170" spans="1:8">
      <c r="A170" s="230"/>
      <c r="B170" s="242" t="s">
        <v>108</v>
      </c>
      <c r="E170" s="205"/>
      <c r="F170" s="201"/>
      <c r="G170" s="750"/>
      <c r="H170" s="201"/>
    </row>
    <row r="171" spans="1:8">
      <c r="A171" s="230"/>
      <c r="B171" s="242" t="s">
        <v>109</v>
      </c>
      <c r="E171" s="205"/>
      <c r="F171" s="201"/>
      <c r="G171" s="750"/>
      <c r="H171" s="201"/>
    </row>
    <row r="172" spans="1:8">
      <c r="A172" s="230">
        <f>+A169+1</f>
        <v>91</v>
      </c>
      <c r="B172" s="230"/>
      <c r="C172" s="201" t="s">
        <v>110</v>
      </c>
      <c r="D172" s="201"/>
      <c r="E172" s="248" t="str">
        <f>"(Note "&amp;B$307&amp;")"</f>
        <v>(Note K)</v>
      </c>
      <c r="F172" s="201" t="str">
        <f>"(Attachment 4, Line "&amp;'4 - Cost Support'!A134&amp;")"</f>
        <v>(Attachment 4, Line 52)</v>
      </c>
      <c r="G172" s="750"/>
      <c r="H172" s="201">
        <f>+'4 - Cost Support'!T134</f>
        <v>-1125017494.0887322</v>
      </c>
    </row>
    <row r="173" spans="1:8">
      <c r="A173" s="230">
        <f>A172+1</f>
        <v>92</v>
      </c>
      <c r="B173" s="230"/>
      <c r="C173" s="201" t="s">
        <v>111</v>
      </c>
      <c r="D173" s="201"/>
      <c r="E173" s="248" t="str">
        <f>"(Note "&amp;B$307&amp;" )"</f>
        <v>(Note K )</v>
      </c>
      <c r="F173" s="201" t="str">
        <f>"(Attachment 4, Line "&amp;'4 - Cost Support'!A135&amp;")"</f>
        <v>(Attachment 4, Line 53)</v>
      </c>
      <c r="G173" s="750"/>
      <c r="H173" s="201">
        <f>+'4 - Cost Support'!T135</f>
        <v>40216445.299950004</v>
      </c>
    </row>
    <row r="174" spans="1:8">
      <c r="A174" s="230">
        <f>A173+1</f>
        <v>93</v>
      </c>
      <c r="B174" s="230"/>
      <c r="C174" s="201" t="s">
        <v>112</v>
      </c>
      <c r="D174" s="201"/>
      <c r="E174" s="248" t="str">
        <f>"(Note "&amp;B$307&amp;" )"</f>
        <v>(Note K )</v>
      </c>
      <c r="F174" s="201" t="str">
        <f>"(Attachment 4, Line "&amp;'4 - Cost Support'!A146&amp;")"</f>
        <v>(Attachment 4, Line 64)</v>
      </c>
      <c r="G174" s="750"/>
      <c r="H174" s="201">
        <f>+'4 - Cost Support'!T146</f>
        <v>0</v>
      </c>
    </row>
    <row r="175" spans="1:8">
      <c r="A175" s="230">
        <f>+A174+1</f>
        <v>94</v>
      </c>
      <c r="B175" s="230"/>
      <c r="C175" s="204" t="s">
        <v>113</v>
      </c>
      <c r="D175" s="204"/>
      <c r="E175" s="256" t="str">
        <f>"(Note "&amp;B$307&amp;")"</f>
        <v>(Note K)</v>
      </c>
      <c r="F175" s="204" t="str">
        <f>"(Attachment 4, Line "&amp;'4 - Cost Support'!A136&amp;")"</f>
        <v>(Attachment 4, Line 54)</v>
      </c>
      <c r="G175" s="750"/>
      <c r="H175" s="204">
        <f>+'4 - Cost Support'!T136</f>
        <v>0</v>
      </c>
    </row>
    <row r="176" spans="1:8">
      <c r="A176" s="230">
        <f>+A175+1</f>
        <v>95</v>
      </c>
      <c r="B176" s="230"/>
      <c r="C176" s="288" t="s">
        <v>109</v>
      </c>
      <c r="D176" s="201"/>
      <c r="F176" s="197" t="str">
        <f>"(Line "&amp;A172&amp;" - "&amp;A173&amp;" - "&amp;A174&amp;" - "&amp;A175&amp;")"</f>
        <v>(Line 91 - 92 - 93 - 94)</v>
      </c>
      <c r="H176" s="201">
        <f>H172-H173-H174-H175</f>
        <v>-1165233939.3886824</v>
      </c>
    </row>
    <row r="177" spans="1:8">
      <c r="A177" s="230"/>
      <c r="B177" s="230"/>
      <c r="E177" s="205"/>
      <c r="F177" s="201"/>
      <c r="H177" s="201"/>
    </row>
    <row r="178" spans="1:8">
      <c r="A178" s="230">
        <f>+A176+1</f>
        <v>96</v>
      </c>
      <c r="B178" s="230"/>
      <c r="C178" s="242" t="s">
        <v>114</v>
      </c>
      <c r="E178" s="248" t="str">
        <f>"(Note "&amp;B$307&amp;")"</f>
        <v>(Note K)</v>
      </c>
      <c r="F178" s="201" t="str">
        <f>"(Attachment 4, Line "&amp;'4 - Cost Support'!A137&amp;")"</f>
        <v>(Attachment 4, Line 55)</v>
      </c>
      <c r="G178" s="750"/>
      <c r="H178" s="201">
        <f>+'4 - Cost Support'!T137</f>
        <v>-1021728350.2230215</v>
      </c>
    </row>
    <row r="179" spans="1:8">
      <c r="A179" s="230"/>
      <c r="B179" s="230"/>
      <c r="C179" s="197" t="s">
        <v>115</v>
      </c>
      <c r="E179" s="248" t="str">
        <f>"(Note "&amp;B$307&amp;")"</f>
        <v>(Note K)</v>
      </c>
      <c r="F179" s="201" t="str">
        <f>"(Attachment 4, Line "&amp;'4 - Cost Support'!A138&amp;")"</f>
        <v>(Attachment 4, Line 56)</v>
      </c>
      <c r="G179" s="750"/>
      <c r="H179" s="201">
        <f>+'4 - Cost Support'!T138</f>
        <v>0</v>
      </c>
    </row>
    <row r="180" spans="1:8">
      <c r="A180" s="230">
        <f>+A178+1</f>
        <v>97</v>
      </c>
      <c r="B180" s="230"/>
      <c r="C180" s="197" t="s">
        <v>116</v>
      </c>
      <c r="E180" s="248" t="str">
        <f>"(Note "&amp;B$307&amp;")"</f>
        <v>(Note K)</v>
      </c>
      <c r="F180" s="201" t="str">
        <f>"(Attachment 4, Line "&amp;'4 - Cost Support'!A139&amp;")"</f>
        <v>(Attachment 4, Line 57)</v>
      </c>
      <c r="G180" s="750"/>
      <c r="H180" s="201">
        <f>+'4 - Cost Support'!T139</f>
        <v>782962.5799998804</v>
      </c>
    </row>
    <row r="181" spans="1:8">
      <c r="A181" s="230">
        <f t="shared" ref="A181:A193" si="1">+A180+1</f>
        <v>98</v>
      </c>
      <c r="B181" s="230"/>
      <c r="C181" s="197" t="s">
        <v>117</v>
      </c>
      <c r="E181" s="248" t="str">
        <f t="shared" ref="E181:E182" si="2">"(Note "&amp;B$307&amp;")"</f>
        <v>(Note K)</v>
      </c>
      <c r="F181" s="201" t="str">
        <f>"(Attachment 4, Line "&amp;'4 - Cost Support'!A140&amp;")"</f>
        <v>(Attachment 4, Line 58)</v>
      </c>
      <c r="G181" s="750"/>
      <c r="H181" s="201">
        <f>+'4 - Cost Support'!T140</f>
        <v>0</v>
      </c>
    </row>
    <row r="182" spans="1:8">
      <c r="A182" s="230">
        <f t="shared" si="1"/>
        <v>99</v>
      </c>
      <c r="B182" s="230"/>
      <c r="C182" s="197" t="s">
        <v>118</v>
      </c>
      <c r="E182" s="248" t="str">
        <f t="shared" si="2"/>
        <v>(Note K)</v>
      </c>
      <c r="F182" s="201" t="str">
        <f>"(Attachment 4, Line "&amp;'4 - Cost Support'!A141&amp;")"</f>
        <v>(Attachment 4, Line 59)</v>
      </c>
      <c r="G182" s="750"/>
      <c r="H182" s="201">
        <f>+'4 - Cost Support'!T141</f>
        <v>2459510.5</v>
      </c>
    </row>
    <row r="183" spans="1:8">
      <c r="A183" s="230">
        <f t="shared" si="1"/>
        <v>100</v>
      </c>
      <c r="B183" s="230"/>
      <c r="C183" s="197" t="s">
        <v>119</v>
      </c>
      <c r="E183" s="248" t="str">
        <f>"(Note "&amp;B$307&amp;")"</f>
        <v>(Note K)</v>
      </c>
      <c r="F183" s="201" t="str">
        <f>"(Attachment 4, Line "&amp;'4 - Cost Support'!A142&amp;")"</f>
        <v>(Attachment 4, Line 60)</v>
      </c>
      <c r="G183" s="750"/>
      <c r="H183" s="201">
        <f>+'4 - Cost Support'!T142</f>
        <v>0</v>
      </c>
    </row>
    <row r="184" spans="1:8">
      <c r="A184" s="230">
        <f t="shared" si="1"/>
        <v>101</v>
      </c>
      <c r="B184" s="230"/>
      <c r="C184" s="197" t="s">
        <v>120</v>
      </c>
      <c r="D184" s="285"/>
      <c r="E184" s="248" t="str">
        <f>"(Note "&amp;B$307&amp;")"</f>
        <v>(Note K)</v>
      </c>
      <c r="F184" s="201" t="str">
        <f>"(Attachment 4, Line "&amp;'4 - Cost Support'!A143&amp;")"</f>
        <v>(Attachment 4, Line 61)</v>
      </c>
      <c r="G184" s="750"/>
      <c r="H184" s="201">
        <f>+'4 - Cost Support'!T143</f>
        <v>-621345.5</v>
      </c>
    </row>
    <row r="185" spans="1:8">
      <c r="A185" s="230">
        <f>+A184+1</f>
        <v>102</v>
      </c>
      <c r="B185" s="230"/>
      <c r="C185" s="197" t="s">
        <v>121</v>
      </c>
      <c r="D185" s="285"/>
      <c r="E185" s="248" t="str">
        <f t="shared" ref="E185:E186" si="3">"(Note "&amp;B$307&amp;")"</f>
        <v>(Note K)</v>
      </c>
      <c r="F185" s="201" t="str">
        <f>"(Attachment 4, Line "&amp;'4 - Cost Support'!A144&amp;")"</f>
        <v>(Attachment 4, Line 62)</v>
      </c>
      <c r="G185" s="750"/>
      <c r="H185" s="201">
        <f>+'4 - Cost Support'!T144</f>
        <v>0</v>
      </c>
    </row>
    <row r="186" spans="1:8">
      <c r="A186" s="230">
        <f>+A185+1</f>
        <v>103</v>
      </c>
      <c r="B186" s="230"/>
      <c r="C186" s="255" t="s">
        <v>122</v>
      </c>
      <c r="D186" s="471"/>
      <c r="E186" s="256" t="str">
        <f t="shared" si="3"/>
        <v>(Note K)</v>
      </c>
      <c r="F186" s="204" t="str">
        <f>"(Attachment 4, Line "&amp;'4 - Cost Support'!A145&amp;")"</f>
        <v>(Attachment 4, Line 63)</v>
      </c>
      <c r="G186" s="750"/>
      <c r="H186" s="204">
        <f>+'4 - Cost Support'!T145</f>
        <v>0</v>
      </c>
    </row>
    <row r="187" spans="1:8" ht="40.5">
      <c r="A187" s="230">
        <f>+A186+1</f>
        <v>104</v>
      </c>
      <c r="B187" s="230"/>
      <c r="C187" s="242" t="s">
        <v>123</v>
      </c>
      <c r="F187" s="488" t="str">
        <f>"(Line "&amp;A178&amp;" + "&amp;A180&amp;" + "&amp;A181&amp;" + "&amp;A182&amp;" + "&amp;A183&amp;" + "&amp;A184&amp;" + "&amp;A185&amp;" + "&amp;A186&amp;")"</f>
        <v>(Line 96 + 97 + 98 + 99 + 100 + 101 + 102 + 103)</v>
      </c>
      <c r="H187" s="201">
        <f>+SUM(H178:H186)</f>
        <v>-1019107222.6430216</v>
      </c>
    </row>
    <row r="188" spans="1:8">
      <c r="A188" s="230"/>
      <c r="B188" s="230"/>
      <c r="C188" s="242"/>
      <c r="F188" s="488"/>
      <c r="H188" s="201"/>
    </row>
    <row r="189" spans="1:8">
      <c r="A189" s="230"/>
      <c r="B189" s="230"/>
      <c r="C189" s="242" t="s">
        <v>124</v>
      </c>
      <c r="F189" s="488"/>
      <c r="H189" s="201"/>
    </row>
    <row r="190" spans="1:8">
      <c r="A190" s="230">
        <f>+A187+1</f>
        <v>105</v>
      </c>
      <c r="B190" s="230"/>
      <c r="C190" s="242" t="s">
        <v>125</v>
      </c>
      <c r="F190" s="201" t="str">
        <f>+"(Line "&amp;A178&amp;")"</f>
        <v>(Line 96)</v>
      </c>
      <c r="H190" s="201">
        <f>+H178</f>
        <v>-1021728350.2230215</v>
      </c>
    </row>
    <row r="191" spans="1:8">
      <c r="A191" s="230">
        <f t="shared" ref="A191" si="4">+A190+1</f>
        <v>106</v>
      </c>
      <c r="B191" s="230"/>
      <c r="C191" s="242" t="s">
        <v>126</v>
      </c>
      <c r="E191" s="248"/>
      <c r="F191" s="201" t="str">
        <f>+"(Line "&amp;A174&amp;")"</f>
        <v>(Line 93)</v>
      </c>
      <c r="H191" s="201">
        <f>+'4 - Cost Support'!T146</f>
        <v>0</v>
      </c>
    </row>
    <row r="192" spans="1:8">
      <c r="A192" s="230">
        <f t="shared" si="1"/>
        <v>107</v>
      </c>
      <c r="B192" s="230"/>
      <c r="C192" s="242" t="s">
        <v>109</v>
      </c>
      <c r="E192" s="248"/>
      <c r="F192" s="204" t="str">
        <f>+"(Line "&amp;A176&amp;")"</f>
        <v>(Line 95)</v>
      </c>
      <c r="H192" s="201">
        <f>H176</f>
        <v>-1165233939.3886824</v>
      </c>
    </row>
    <row r="193" spans="1:8">
      <c r="A193" s="230">
        <f t="shared" si="1"/>
        <v>108</v>
      </c>
      <c r="B193" s="230"/>
      <c r="C193" s="276" t="s">
        <v>127</v>
      </c>
      <c r="D193" s="249"/>
      <c r="E193" s="257"/>
      <c r="F193" s="201" t="str">
        <f>"(Line "&amp;A190&amp;" + Line"&amp;A191&amp;" + Line "&amp;A192&amp;")"</f>
        <v>(Line 105 + Line106 + Line 107)</v>
      </c>
      <c r="G193" s="753"/>
      <c r="H193" s="202">
        <f>+H190+H191+H192</f>
        <v>-2186962289.6117039</v>
      </c>
    </row>
    <row r="194" spans="1:8">
      <c r="A194" s="230"/>
      <c r="B194" s="230"/>
      <c r="G194" s="750"/>
      <c r="H194" s="205"/>
    </row>
    <row r="195" spans="1:8">
      <c r="A195" s="230">
        <f>+A193+1</f>
        <v>109</v>
      </c>
      <c r="B195" s="230"/>
      <c r="C195" s="228" t="s">
        <v>128</v>
      </c>
      <c r="D195" s="197" t="s">
        <v>129</v>
      </c>
      <c r="E195" s="248"/>
      <c r="F195" s="201" t="str">
        <f>"(Line "&amp;A190&amp;" / Line "&amp;A193&amp;")"</f>
        <v>(Line 105 / Line 108)</v>
      </c>
      <c r="G195" s="750"/>
      <c r="H195" s="478">
        <f>+H190/H193</f>
        <v>0.46719065759676626</v>
      </c>
    </row>
    <row r="196" spans="1:8">
      <c r="A196" s="230">
        <f>+A195+1</f>
        <v>110</v>
      </c>
      <c r="B196" s="230"/>
      <c r="C196" s="228" t="s">
        <v>130</v>
      </c>
      <c r="D196" s="197" t="s">
        <v>126</v>
      </c>
      <c r="E196" s="248"/>
      <c r="F196" s="201" t="str">
        <f>"(Line "&amp;A191&amp;" / Line "&amp;A193&amp;")"</f>
        <v>(Line 106 / Line 108)</v>
      </c>
      <c r="G196" s="750"/>
      <c r="H196" s="479">
        <f>+H191/H193</f>
        <v>0</v>
      </c>
    </row>
    <row r="197" spans="1:8">
      <c r="A197" s="230">
        <f>+A196+1</f>
        <v>111</v>
      </c>
      <c r="B197" s="230"/>
      <c r="C197" s="228" t="s">
        <v>131</v>
      </c>
      <c r="D197" s="197" t="s">
        <v>109</v>
      </c>
      <c r="E197" s="248"/>
      <c r="F197" s="201" t="str">
        <f>"(Line "&amp;A192&amp;" / Line "&amp;A193&amp;")"</f>
        <v>(Line 107 / Line 108)</v>
      </c>
      <c r="G197" s="750"/>
      <c r="H197" s="478">
        <f>+H192/H193</f>
        <v>0.53280934240323374</v>
      </c>
    </row>
    <row r="198" spans="1:8">
      <c r="A198" s="230"/>
      <c r="B198" s="230"/>
      <c r="C198" s="289"/>
      <c r="F198" s="201"/>
      <c r="G198" s="750"/>
      <c r="H198" s="207"/>
    </row>
    <row r="199" spans="1:8">
      <c r="A199" s="230">
        <f>+A197+1</f>
        <v>112</v>
      </c>
      <c r="B199" s="230"/>
      <c r="C199" s="289" t="s">
        <v>132</v>
      </c>
      <c r="D199" s="197" t="s">
        <v>129</v>
      </c>
      <c r="F199" s="201" t="str">
        <f>"(Line "&amp;A167&amp;" / Line "&amp;A187&amp;")"</f>
        <v>(Line 89 / Line 104)</v>
      </c>
      <c r="G199" s="750"/>
      <c r="H199" s="478">
        <f>+H167/H187*-1</f>
        <v>4.6242909561150132E-2</v>
      </c>
    </row>
    <row r="200" spans="1:8">
      <c r="A200" s="230">
        <f>+A199+1</f>
        <v>113</v>
      </c>
      <c r="B200" s="230"/>
      <c r="C200" s="289" t="s">
        <v>133</v>
      </c>
      <c r="D200" s="197" t="s">
        <v>126</v>
      </c>
      <c r="F200" s="201" t="str">
        <f>"(Line "&amp;A169&amp;" / Line "&amp;A191&amp;")"</f>
        <v>(Line 90 / Line 106)</v>
      </c>
      <c r="G200" s="750"/>
      <c r="H200" s="478">
        <f>+IF(H191=0,0,H169/H191)</f>
        <v>0</v>
      </c>
    </row>
    <row r="201" spans="1:8">
      <c r="A201" s="230">
        <f>+A200+1</f>
        <v>114</v>
      </c>
      <c r="B201" s="230"/>
      <c r="C201" s="289" t="s">
        <v>134</v>
      </c>
      <c r="D201" s="197" t="s">
        <v>109</v>
      </c>
      <c r="E201" s="248" t="str">
        <f>"(Note "&amp;B$303&amp;")"</f>
        <v>(Note G)</v>
      </c>
      <c r="F201" s="201" t="s">
        <v>135</v>
      </c>
      <c r="G201" s="750"/>
      <c r="H201" s="631">
        <v>9.8500000000000004E-2</v>
      </c>
    </row>
    <row r="202" spans="1:8">
      <c r="A202" s="230"/>
      <c r="B202" s="230"/>
      <c r="C202" s="289"/>
      <c r="F202" s="201"/>
      <c r="G202" s="750"/>
      <c r="H202" s="268"/>
    </row>
    <row r="203" spans="1:8">
      <c r="A203" s="230">
        <f>+A201+1</f>
        <v>115</v>
      </c>
      <c r="B203" s="230"/>
      <c r="C203" s="228" t="s">
        <v>136</v>
      </c>
      <c r="D203" s="197" t="s">
        <v>137</v>
      </c>
      <c r="F203" s="201" t="str">
        <f>"(Line "&amp;A195&amp;" * Line "&amp;A199&amp;")"</f>
        <v>(Line 109 * Line 112)</v>
      </c>
      <c r="G203" s="743"/>
      <c r="H203" s="479">
        <f>H195*H199</f>
        <v>2.160425532706152E-2</v>
      </c>
    </row>
    <row r="204" spans="1:8">
      <c r="A204" s="230">
        <f>+A203+1</f>
        <v>116</v>
      </c>
      <c r="B204" s="230"/>
      <c r="C204" s="228" t="s">
        <v>138</v>
      </c>
      <c r="D204" s="197" t="s">
        <v>126</v>
      </c>
      <c r="F204" s="201" t="str">
        <f>"(Line "&amp;A196&amp;" * Line "&amp;A200&amp;")"</f>
        <v>(Line 110 * Line 113)</v>
      </c>
      <c r="H204" s="479">
        <f>H196*H200</f>
        <v>0</v>
      </c>
    </row>
    <row r="205" spans="1:8">
      <c r="A205" s="230">
        <f>+A204+1</f>
        <v>117</v>
      </c>
      <c r="B205" s="273"/>
      <c r="C205" s="261" t="s">
        <v>139</v>
      </c>
      <c r="D205" s="255" t="s">
        <v>109</v>
      </c>
      <c r="E205" s="273"/>
      <c r="F205" s="204" t="str">
        <f>"(Line "&amp;A197&amp;" * Line "&amp;A201&amp;")"</f>
        <v>(Line 111 * Line 114)</v>
      </c>
      <c r="G205" s="752"/>
      <c r="H205" s="480">
        <f>H197*H201</f>
        <v>5.2481720226718528E-2</v>
      </c>
    </row>
    <row r="206" spans="1:8" s="9" customFormat="1">
      <c r="A206" s="230">
        <f>+A205+1</f>
        <v>118</v>
      </c>
      <c r="B206" s="242" t="s">
        <v>140</v>
      </c>
      <c r="C206" s="242"/>
      <c r="D206" s="242"/>
      <c r="E206" s="227"/>
      <c r="F206" s="201" t="str">
        <f>"(Lines "&amp;A203&amp;" + "&amp;A204&amp;" + "&amp;A205&amp;")"</f>
        <v>(Lines 115 + 116 + 117)</v>
      </c>
      <c r="G206" s="743"/>
      <c r="H206" s="481">
        <f>SUM(H203:H205)</f>
        <v>7.4085975553780048E-2</v>
      </c>
    </row>
    <row r="207" spans="1:8" s="9" customFormat="1">
      <c r="A207" s="227"/>
      <c r="B207" s="227"/>
      <c r="C207" s="242"/>
      <c r="D207" s="242"/>
      <c r="E207" s="227"/>
      <c r="F207" s="288"/>
      <c r="G207" s="743"/>
      <c r="H207" s="482"/>
    </row>
    <row r="208" spans="1:8" ht="21" thickBot="1">
      <c r="A208" s="230">
        <f>+A206+1</f>
        <v>119</v>
      </c>
      <c r="B208" s="290" t="s">
        <v>141</v>
      </c>
      <c r="C208" s="283"/>
      <c r="D208" s="278"/>
      <c r="E208" s="291"/>
      <c r="F208" s="217" t="str">
        <f>"(Line "&amp;A114&amp;" * Line "&amp;A206&amp;")"</f>
        <v>(Line 59 * Line 118)</v>
      </c>
      <c r="G208" s="744"/>
      <c r="H208" s="475">
        <f>H114*H206</f>
        <v>41881014.226289041</v>
      </c>
    </row>
    <row r="209" spans="1:8">
      <c r="A209" s="244" t="s">
        <v>142</v>
      </c>
      <c r="B209" s="245"/>
      <c r="C209" s="281"/>
      <c r="D209" s="206"/>
      <c r="E209" s="287"/>
      <c r="F209" s="206"/>
      <c r="G209" s="749"/>
      <c r="H209" s="199"/>
    </row>
    <row r="210" spans="1:8">
      <c r="A210" s="230" t="s">
        <v>143</v>
      </c>
      <c r="B210" s="292" t="s">
        <v>144</v>
      </c>
      <c r="E210" s="205"/>
      <c r="F210" s="201"/>
      <c r="G210" s="754"/>
    </row>
    <row r="211" spans="1:8">
      <c r="A211" s="230">
        <f>+A208+1</f>
        <v>120</v>
      </c>
      <c r="B211" s="230"/>
      <c r="C211" s="197" t="s">
        <v>145</v>
      </c>
      <c r="E211" s="248"/>
      <c r="H211" s="221">
        <v>0.21</v>
      </c>
    </row>
    <row r="212" spans="1:8">
      <c r="A212" s="230">
        <f>+A211+1</f>
        <v>121</v>
      </c>
      <c r="B212" s="230"/>
      <c r="C212" s="197" t="s">
        <v>146</v>
      </c>
      <c r="D212" s="293"/>
      <c r="F212" s="201" t="str">
        <f>"(Attachment 4, Line "&amp;'4 - Cost Support'!A153&amp;")"</f>
        <v>(Attachment 4, Line 65)</v>
      </c>
      <c r="H212" s="223">
        <f>+'4 - Cost Support'!S153</f>
        <v>0</v>
      </c>
    </row>
    <row r="213" spans="1:8">
      <c r="A213" s="230">
        <f>+A212+1</f>
        <v>122</v>
      </c>
      <c r="B213" s="230"/>
      <c r="C213" s="197" t="s">
        <v>147</v>
      </c>
      <c r="D213" s="293"/>
      <c r="F213" s="201" t="str">
        <f>"(Attachment 4, Line "&amp;'4 - Cost Support'!A154&amp;")"</f>
        <v>(Attachment 4, Line 66)</v>
      </c>
      <c r="H213" s="864">
        <f>+'4 - Cost Support'!S154</f>
        <v>1.8200000000000001E-2</v>
      </c>
    </row>
    <row r="214" spans="1:8">
      <c r="A214" s="230">
        <f>+A213+1</f>
        <v>123</v>
      </c>
      <c r="B214" s="230"/>
      <c r="C214" s="197" t="s">
        <v>148</v>
      </c>
      <c r="D214" s="197" t="s">
        <v>149</v>
      </c>
      <c r="F214" s="197" t="s">
        <v>150</v>
      </c>
      <c r="H214" s="221">
        <v>0</v>
      </c>
    </row>
    <row r="215" spans="1:8">
      <c r="A215" s="230">
        <f>+A214+1</f>
        <v>124</v>
      </c>
      <c r="B215" s="230"/>
      <c r="C215" s="197" t="s">
        <v>151</v>
      </c>
      <c r="D215" s="294" t="s">
        <v>152</v>
      </c>
      <c r="H215" s="222">
        <f>+H211+H212+H213-(H212+H213)*H211-(H211*H214*H212)</f>
        <v>0.22437799999999999</v>
      </c>
    </row>
    <row r="216" spans="1:8" s="46" customFormat="1">
      <c r="A216" s="230">
        <f>A215+1</f>
        <v>125</v>
      </c>
      <c r="B216" s="197"/>
      <c r="C216" s="197" t="s">
        <v>153</v>
      </c>
      <c r="D216" s="197"/>
      <c r="E216" s="197"/>
      <c r="F216" s="197"/>
      <c r="G216" s="737"/>
      <c r="H216" s="223">
        <f>H215/(1-H215)</f>
        <v>0.28928782319222507</v>
      </c>
    </row>
    <row r="217" spans="1:8" s="46" customFormat="1">
      <c r="A217" s="230">
        <f>+A216+1</f>
        <v>126</v>
      </c>
      <c r="B217" s="197"/>
      <c r="C217" s="197" t="s">
        <v>154</v>
      </c>
      <c r="D217" s="197"/>
      <c r="E217" s="197"/>
      <c r="F217" s="197"/>
      <c r="G217" s="737"/>
      <c r="H217" s="223">
        <f>1/(1-H215)</f>
        <v>1.2892878231922251</v>
      </c>
    </row>
    <row r="218" spans="1:8">
      <c r="A218" s="230"/>
      <c r="B218" s="230"/>
      <c r="E218" s="264"/>
      <c r="G218" s="754"/>
      <c r="H218" s="222"/>
    </row>
    <row r="219" spans="1:8">
      <c r="A219" s="230"/>
      <c r="B219" s="292" t="s">
        <v>155</v>
      </c>
      <c r="E219" s="248"/>
      <c r="G219" s="754"/>
      <c r="H219" s="224"/>
    </row>
    <row r="220" spans="1:8">
      <c r="A220" s="230">
        <f>+A217+1</f>
        <v>127</v>
      </c>
      <c r="B220" s="230"/>
      <c r="C220" s="197" t="s">
        <v>156</v>
      </c>
      <c r="D220" s="205"/>
      <c r="E220" s="248"/>
      <c r="F220" s="201" t="str">
        <f>"(Attachment 4, Line "&amp;'4 - Cost Support'!A161&amp;")"</f>
        <v>(Attachment 4, Line 68)</v>
      </c>
      <c r="G220" s="754"/>
      <c r="H220" s="201">
        <f>'4 - Cost Support'!S161</f>
        <v>-2006</v>
      </c>
    </row>
    <row r="221" spans="1:8">
      <c r="A221" s="230">
        <f t="shared" ref="A221:A226" si="5">+A220+1</f>
        <v>128</v>
      </c>
      <c r="B221" s="230"/>
      <c r="C221" s="197" t="s">
        <v>157</v>
      </c>
      <c r="D221" s="205"/>
      <c r="E221" s="248"/>
      <c r="F221" s="201" t="str">
        <f>"(Attachment 4, Line "&amp;'4 - Cost Support'!A160&amp;")"</f>
        <v>(Attachment 4, Line 67)</v>
      </c>
      <c r="G221" s="754"/>
      <c r="H221" s="201">
        <f>'4 - Cost Support'!S160</f>
        <v>-32505</v>
      </c>
    </row>
    <row r="222" spans="1:8">
      <c r="A222" s="230">
        <f t="shared" si="5"/>
        <v>129</v>
      </c>
      <c r="B222" s="230"/>
      <c r="C222" s="261" t="s">
        <v>28</v>
      </c>
      <c r="D222" s="261"/>
      <c r="E222" s="273"/>
      <c r="F222" s="255" t="str">
        <f>"(Line "&amp;A$16&amp;")"</f>
        <v>(Line 5)</v>
      </c>
      <c r="G222" s="752"/>
      <c r="H222" s="458">
        <f>+H16</f>
        <v>0.12508709030780155</v>
      </c>
    </row>
    <row r="223" spans="1:8">
      <c r="A223" s="230">
        <f t="shared" si="5"/>
        <v>130</v>
      </c>
      <c r="B223" s="230"/>
      <c r="C223" s="197" t="s">
        <v>158</v>
      </c>
      <c r="F223" s="201" t="str">
        <f>"(Line "&amp;A221&amp;" * Line "&amp;A222&amp;")"</f>
        <v>(Line 128 * Line 129)</v>
      </c>
      <c r="G223" s="750"/>
      <c r="H223" s="207">
        <f>+H221*H222</f>
        <v>-4065.9558704550891</v>
      </c>
    </row>
    <row r="224" spans="1:8">
      <c r="A224" s="230">
        <f t="shared" si="5"/>
        <v>131</v>
      </c>
      <c r="B224" s="230"/>
      <c r="C224" s="197" t="s">
        <v>159</v>
      </c>
      <c r="F224" s="201" t="str">
        <f>"(Line "&amp;A220&amp;" + Line "&amp;A223&amp;")"</f>
        <v>(Line 127 + Line 130)</v>
      </c>
      <c r="G224" s="750"/>
      <c r="H224" s="207">
        <f>+H220+H223</f>
        <v>-6071.9558704550891</v>
      </c>
    </row>
    <row r="225" spans="1:8">
      <c r="A225" s="230">
        <f t="shared" si="5"/>
        <v>132</v>
      </c>
      <c r="B225" s="230"/>
      <c r="C225" s="255" t="s">
        <v>154</v>
      </c>
      <c r="D225" s="255"/>
      <c r="E225" s="273"/>
      <c r="F225" s="255" t="str">
        <f>"(Line "&amp;A217&amp;")"</f>
        <v>(Line 126)</v>
      </c>
      <c r="G225" s="755"/>
      <c r="H225" s="450">
        <f>+H217</f>
        <v>1.2892878231922251</v>
      </c>
    </row>
    <row r="226" spans="1:8">
      <c r="A226" s="230">
        <f t="shared" si="5"/>
        <v>133</v>
      </c>
      <c r="B226" s="230"/>
      <c r="C226" s="243" t="s">
        <v>160</v>
      </c>
      <c r="E226" s="248"/>
      <c r="F226" s="201" t="str">
        <f>"(Line "&amp;A224&amp;" * Line "&amp;A225&amp;")"</f>
        <v>(Line 131 * Line 132)</v>
      </c>
      <c r="G226" s="750"/>
      <c r="H226" s="212">
        <f>+H224*H225</f>
        <v>-7828.4987667382948</v>
      </c>
    </row>
    <row r="227" spans="1:8">
      <c r="A227" s="230"/>
      <c r="B227" s="230"/>
      <c r="C227" s="243"/>
      <c r="E227" s="248"/>
      <c r="F227" s="201"/>
      <c r="G227" s="750"/>
      <c r="H227" s="212"/>
    </row>
    <row r="228" spans="1:8">
      <c r="A228" s="230"/>
      <c r="B228" s="243" t="s">
        <v>161</v>
      </c>
      <c r="C228" s="243"/>
      <c r="E228" s="248"/>
      <c r="F228" s="201"/>
      <c r="G228" s="750"/>
      <c r="H228" s="212"/>
    </row>
    <row r="229" spans="1:8">
      <c r="A229" s="230">
        <f>+A226+1</f>
        <v>134</v>
      </c>
      <c r="B229" s="230"/>
      <c r="C229" s="197" t="s">
        <v>161</v>
      </c>
      <c r="D229" s="205"/>
      <c r="E229" s="248"/>
      <c r="F229" s="201" t="str">
        <f>"(Attachment 4, Line "&amp;'4 - Cost Support'!A162&amp;")"</f>
        <v>(Attachment 4, Line 69)</v>
      </c>
      <c r="G229" s="754"/>
      <c r="H229" s="201">
        <f>+'4 - Cost Support'!S162</f>
        <v>320451</v>
      </c>
    </row>
    <row r="230" spans="1:8">
      <c r="A230" s="230">
        <f>+A229+1</f>
        <v>135</v>
      </c>
      <c r="B230" s="230"/>
      <c r="C230" s="228" t="s">
        <v>162</v>
      </c>
      <c r="D230" s="205"/>
      <c r="E230" s="248"/>
      <c r="F230" s="201" t="str">
        <f>"(Line "&amp;A215&amp;" * Line "&amp;A229&amp;")"</f>
        <v>(Line 124 * Line 134)</v>
      </c>
      <c r="G230" s="754"/>
      <c r="H230" s="201">
        <f>+H229*H215</f>
        <v>71902.154477999997</v>
      </c>
    </row>
    <row r="231" spans="1:8">
      <c r="A231" s="230">
        <f>+A230+1</f>
        <v>136</v>
      </c>
      <c r="B231" s="230"/>
      <c r="C231" s="197" t="s">
        <v>154</v>
      </c>
      <c r="E231" s="273"/>
      <c r="F231" s="255" t="str">
        <f>"(Line "&amp;A217&amp;")"</f>
        <v>(Line 126)</v>
      </c>
      <c r="G231" s="754"/>
      <c r="H231" s="223">
        <f>+H217</f>
        <v>1.2892878231922251</v>
      </c>
    </row>
    <row r="232" spans="1:8">
      <c r="A232" s="230">
        <f>+A231+1</f>
        <v>137</v>
      </c>
      <c r="B232" s="230"/>
      <c r="C232" s="295" t="s">
        <v>163</v>
      </c>
      <c r="D232" s="249"/>
      <c r="E232" s="248"/>
      <c r="F232" s="201" t="str">
        <f>"(Line "&amp;A230&amp;" * Line "&amp;A231&amp;")"</f>
        <v>(Line 135 * Line 136)</v>
      </c>
      <c r="G232" s="753"/>
      <c r="H232" s="216">
        <f>+H230*H231</f>
        <v>92702.572229771715</v>
      </c>
    </row>
    <row r="233" spans="1:8">
      <c r="A233" s="230"/>
      <c r="B233" s="230"/>
      <c r="C233" s="243"/>
      <c r="E233" s="248"/>
      <c r="F233" s="201"/>
      <c r="G233" s="750"/>
      <c r="H233" s="212"/>
    </row>
    <row r="234" spans="1:8">
      <c r="A234" s="230"/>
      <c r="B234" s="243" t="s">
        <v>164</v>
      </c>
      <c r="C234" s="243"/>
      <c r="E234" s="248"/>
      <c r="F234" s="201"/>
      <c r="G234" s="750"/>
      <c r="H234" s="212"/>
    </row>
    <row r="235" spans="1:8">
      <c r="A235" s="230">
        <f>+A232+1</f>
        <v>138</v>
      </c>
      <c r="B235" s="230"/>
      <c r="C235" s="228" t="s">
        <v>165</v>
      </c>
      <c r="E235" s="248" t="str">
        <f>"(Note "&amp;B310&amp;")"</f>
        <v>(Note N)</v>
      </c>
      <c r="F235" s="201" t="str">
        <f>"(Attachment 4, Line "&amp;'4 - Cost Support'!A203&amp;")"</f>
        <v>(Attachment 4, Line 78)</v>
      </c>
      <c r="G235" s="776"/>
      <c r="H235" s="207">
        <f>+'4 - Cost Support'!R203</f>
        <v>-2801311.8514752002</v>
      </c>
    </row>
    <row r="236" spans="1:8">
      <c r="A236" s="230">
        <f>+A235+1</f>
        <v>139</v>
      </c>
      <c r="B236" s="230"/>
      <c r="C236" s="197" t="s">
        <v>154</v>
      </c>
      <c r="E236" s="256"/>
      <c r="F236" s="255" t="str">
        <f>+F225</f>
        <v>(Line 126)</v>
      </c>
      <c r="G236" s="754"/>
      <c r="H236" s="223">
        <f>+H217</f>
        <v>1.2892878231922251</v>
      </c>
    </row>
    <row r="237" spans="1:8">
      <c r="A237" s="230">
        <f>+A236+1</f>
        <v>140</v>
      </c>
      <c r="B237" s="230"/>
      <c r="C237" s="295" t="s">
        <v>166</v>
      </c>
      <c r="D237" s="249"/>
      <c r="E237" s="248"/>
      <c r="F237" s="201" t="str">
        <f>"(Line "&amp;A235&amp;" * Line "&amp;A236&amp;")"</f>
        <v>(Line 138 * Line 139)</v>
      </c>
      <c r="G237" s="753"/>
      <c r="H237" s="216">
        <f>+H235*H236</f>
        <v>-3611697.2590710428</v>
      </c>
    </row>
    <row r="238" spans="1:8" ht="67.5" customHeight="1">
      <c r="A238" s="230">
        <f>+A237+1</f>
        <v>141</v>
      </c>
      <c r="B238" s="242" t="s">
        <v>167</v>
      </c>
      <c r="D238" s="488" t="s">
        <v>168</v>
      </c>
      <c r="E238" s="205"/>
      <c r="F238" s="489" t="str">
        <f>"(Line "&amp;A216&amp;" * Line "&amp;A114&amp;" * (Line "&amp;A204&amp;" + Line "&amp;A205&amp;"))"</f>
        <v>(Line 125 * Line 59 * (Line 116 + Line 117))</v>
      </c>
      <c r="H238" s="212">
        <f>+H216*H114*(H204+H205)</f>
        <v>8582610.4619665593</v>
      </c>
    </row>
    <row r="239" spans="1:8" ht="21" thickBot="1">
      <c r="A239" s="230">
        <f>+A238+1</f>
        <v>142</v>
      </c>
      <c r="B239" s="296" t="s">
        <v>169</v>
      </c>
      <c r="C239" s="296"/>
      <c r="D239" s="251"/>
      <c r="E239" s="263"/>
      <c r="F239" s="297" t="str">
        <f>"(Line "&amp;A226&amp;" + Line "&amp;A232&amp;" + Line "&amp;A237&amp;" + Line "&amp;A238&amp;")"</f>
        <v>(Line 133 + Line 137 + Line 140 + Line 141)</v>
      </c>
      <c r="G239" s="745"/>
      <c r="H239" s="547">
        <f>H226+H232+H237+H238</f>
        <v>5055787.2763585504</v>
      </c>
    </row>
    <row r="240" spans="1:8" ht="21" thickTop="1">
      <c r="A240" s="230"/>
      <c r="B240" s="230"/>
      <c r="C240" s="294"/>
      <c r="F240" s="207"/>
      <c r="G240" s="754"/>
      <c r="H240" s="220"/>
    </row>
    <row r="241" spans="1:8">
      <c r="A241" s="244" t="s">
        <v>170</v>
      </c>
      <c r="B241" s="245"/>
      <c r="C241" s="281"/>
      <c r="D241" s="206"/>
      <c r="E241" s="246"/>
      <c r="F241" s="206"/>
      <c r="G241" s="749"/>
      <c r="H241" s="199"/>
    </row>
    <row r="242" spans="1:8">
      <c r="A242" s="230"/>
      <c r="H242" s="532"/>
    </row>
    <row r="243" spans="1:8">
      <c r="A243" s="230"/>
      <c r="B243" s="242" t="s">
        <v>171</v>
      </c>
    </row>
    <row r="244" spans="1:8">
      <c r="A244" s="230">
        <f>+A239+1</f>
        <v>143</v>
      </c>
      <c r="C244" s="197" t="s">
        <v>172</v>
      </c>
      <c r="F244" s="201" t="str">
        <f>"(Line "&amp;A57&amp;")"</f>
        <v>(Line 29)</v>
      </c>
      <c r="H244" s="207">
        <f>H57</f>
        <v>539727010.83271062</v>
      </c>
    </row>
    <row r="245" spans="1:8">
      <c r="A245" s="230">
        <f>+A244+1</f>
        <v>144</v>
      </c>
      <c r="C245" s="197" t="s">
        <v>74</v>
      </c>
      <c r="F245" s="204" t="str">
        <f>"(Line "&amp;A112&amp;")"</f>
        <v>(Line 58)</v>
      </c>
      <c r="H245" s="207">
        <f>H112</f>
        <v>25575854.024444789</v>
      </c>
    </row>
    <row r="246" spans="1:8">
      <c r="A246" s="230">
        <f>+A245+1</f>
        <v>145</v>
      </c>
      <c r="B246" s="230"/>
      <c r="C246" s="276" t="s">
        <v>75</v>
      </c>
      <c r="D246" s="276"/>
      <c r="E246" s="298"/>
      <c r="F246" s="201" t="str">
        <f>"(Line "&amp;A114&amp;")"</f>
        <v>(Line 59)</v>
      </c>
      <c r="G246" s="739"/>
      <c r="H246" s="216">
        <f>SUM(H244:H245)</f>
        <v>565302864.85715544</v>
      </c>
    </row>
    <row r="247" spans="1:8">
      <c r="A247" s="230"/>
      <c r="B247" s="230"/>
      <c r="E247" s="205"/>
      <c r="H247" s="207"/>
    </row>
    <row r="248" spans="1:8">
      <c r="A248" s="230">
        <f>+A246+1</f>
        <v>146</v>
      </c>
      <c r="C248" s="197" t="s">
        <v>173</v>
      </c>
      <c r="F248" s="201" t="str">
        <f>"(Line "&amp;A144&amp;")"</f>
        <v>(Line 78)</v>
      </c>
      <c r="H248" s="207">
        <f>H144</f>
        <v>21663238.141285554</v>
      </c>
    </row>
    <row r="249" spans="1:8">
      <c r="A249" s="230">
        <f>+A248+1</f>
        <v>147</v>
      </c>
      <c r="C249" s="228" t="s">
        <v>101</v>
      </c>
      <c r="F249" s="201" t="str">
        <f>"(Line "&amp;A158&amp;")"</f>
        <v>(Line 86)</v>
      </c>
      <c r="H249" s="207">
        <f>H158</f>
        <v>15913371.432927299</v>
      </c>
    </row>
    <row r="250" spans="1:8">
      <c r="A250" s="230">
        <f>+A249+1</f>
        <v>148</v>
      </c>
      <c r="B250" s="230"/>
      <c r="C250" s="197" t="s">
        <v>174</v>
      </c>
      <c r="E250" s="205"/>
      <c r="F250" s="201" t="str">
        <f>"(Line "&amp;A164&amp;")"</f>
        <v>(Line 88)</v>
      </c>
      <c r="H250" s="207">
        <f>H164</f>
        <v>29952129.461855449</v>
      </c>
    </row>
    <row r="251" spans="1:8">
      <c r="A251" s="230">
        <f>+A250+1</f>
        <v>149</v>
      </c>
      <c r="B251" s="230"/>
      <c r="C251" s="294" t="s">
        <v>175</v>
      </c>
      <c r="E251" s="205"/>
      <c r="F251" s="201" t="str">
        <f>"(Line "&amp;A208&amp;")"</f>
        <v>(Line 119)</v>
      </c>
      <c r="H251" s="207">
        <f>H208</f>
        <v>41881014.226289041</v>
      </c>
    </row>
    <row r="252" spans="1:8">
      <c r="A252" s="230">
        <f>+A251+1</f>
        <v>150</v>
      </c>
      <c r="B252" s="230"/>
      <c r="C252" s="294" t="s">
        <v>176</v>
      </c>
      <c r="E252" s="205"/>
      <c r="F252" s="201" t="str">
        <f>"(Line "&amp;A239&amp;")"</f>
        <v>(Line 142)</v>
      </c>
      <c r="H252" s="207">
        <f>H239</f>
        <v>5055787.2763585504</v>
      </c>
    </row>
    <row r="253" spans="1:8">
      <c r="A253" s="230"/>
      <c r="B253" s="230"/>
      <c r="C253" s="294"/>
      <c r="E253" s="205"/>
      <c r="H253" s="207"/>
    </row>
    <row r="254" spans="1:8">
      <c r="A254" s="299">
        <f>+A252+1</f>
        <v>151</v>
      </c>
      <c r="B254" s="300"/>
      <c r="C254" s="301" t="s">
        <v>177</v>
      </c>
      <c r="D254" s="301"/>
      <c r="E254" s="694" t="str">
        <f>"(Note "&amp;B317&amp;")"</f>
        <v>(Note U)</v>
      </c>
      <c r="F254" s="302" t="str">
        <f>"(Sum Lines "&amp;A248&amp;" to "&amp;A252&amp;")"</f>
        <v>(Sum Lines 146 to 150)</v>
      </c>
      <c r="G254" s="756"/>
      <c r="H254" s="483">
        <f>SUM(H248:H252)</f>
        <v>114465540.53871587</v>
      </c>
    </row>
    <row r="255" spans="1:8">
      <c r="A255" s="227"/>
      <c r="B255" s="230"/>
      <c r="C255" s="242"/>
      <c r="D255" s="242"/>
      <c r="E255" s="303"/>
      <c r="F255" s="288"/>
      <c r="H255" s="212"/>
    </row>
    <row r="256" spans="1:8">
      <c r="A256" s="227"/>
      <c r="B256" s="243" t="s">
        <v>178</v>
      </c>
      <c r="C256" s="242"/>
      <c r="D256" s="242"/>
      <c r="E256" s="303"/>
      <c r="F256" s="288"/>
      <c r="H256" s="212"/>
    </row>
    <row r="257" spans="1:9">
      <c r="A257" s="230">
        <f>+A254+1</f>
        <v>152</v>
      </c>
      <c r="B257" s="230"/>
      <c r="C257" s="197" t="str">
        <f>+C33</f>
        <v>Transmission Plant In Service</v>
      </c>
      <c r="D257" s="242"/>
      <c r="E257" s="303"/>
      <c r="F257" s="201" t="str">
        <f>"(Line "&amp;A33&amp;")"</f>
        <v>(Line 13)</v>
      </c>
      <c r="H257" s="207">
        <f>H33</f>
        <v>770607229.81683683</v>
      </c>
    </row>
    <row r="258" spans="1:9">
      <c r="A258" s="230">
        <f>+A257+1</f>
        <v>153</v>
      </c>
      <c r="B258" s="230"/>
      <c r="C258" s="255" t="s">
        <v>179</v>
      </c>
      <c r="D258" s="304"/>
      <c r="E258" s="256" t="str">
        <f>"(Note "&amp;B$297&amp;" &amp; "&amp;B$305&amp;")"</f>
        <v>(Note A &amp; I)</v>
      </c>
      <c r="F258" s="204" t="str">
        <f>"(Attachment 4, Line "&amp;'4 - Cost Support'!A168&amp;")"</f>
        <v>(Attachment 4, Line 70)</v>
      </c>
      <c r="G258" s="740"/>
      <c r="H258" s="210">
        <f>+'4 - Cost Support'!T168</f>
        <v>2464924.6153846155</v>
      </c>
    </row>
    <row r="259" spans="1:9">
      <c r="A259" s="230">
        <f>+A258+1</f>
        <v>154</v>
      </c>
      <c r="B259" s="230"/>
      <c r="C259" s="197" t="s">
        <v>180</v>
      </c>
      <c r="D259" s="242"/>
      <c r="E259" s="303"/>
      <c r="F259" s="201" t="str">
        <f>"(Line "&amp;A257&amp;" - Line "&amp;A258&amp;")"</f>
        <v>(Line 152 - Line 153)</v>
      </c>
      <c r="H259" s="207">
        <f>H257-H258</f>
        <v>768142305.20145226</v>
      </c>
    </row>
    <row r="260" spans="1:9">
      <c r="A260" s="230">
        <f>+A259+1</f>
        <v>155</v>
      </c>
      <c r="B260" s="230"/>
      <c r="C260" s="197" t="s">
        <v>181</v>
      </c>
      <c r="D260" s="242"/>
      <c r="E260" s="303"/>
      <c r="F260" s="201" t="str">
        <f>"(Line "&amp;A259&amp;" / Line "&amp;A257&amp;")"</f>
        <v>(Line 154 / Line 152)</v>
      </c>
      <c r="H260" s="858">
        <f>H259/H257</f>
        <v>0.99680132171097013</v>
      </c>
      <c r="I260" s="856"/>
    </row>
    <row r="261" spans="1:9">
      <c r="A261" s="230">
        <f>+A260+1</f>
        <v>156</v>
      </c>
      <c r="B261" s="230"/>
      <c r="C261" s="255" t="s">
        <v>182</v>
      </c>
      <c r="D261" s="304"/>
      <c r="E261" s="305"/>
      <c r="F261" s="204" t="str">
        <f>"(Line "&amp;A254&amp;")"</f>
        <v>(Line 151)</v>
      </c>
      <c r="G261" s="740"/>
      <c r="H261" s="210">
        <f>H254</f>
        <v>114465540.53871587</v>
      </c>
    </row>
    <row r="262" spans="1:9">
      <c r="A262" s="230">
        <f>+A261+1</f>
        <v>157</v>
      </c>
      <c r="B262" s="230"/>
      <c r="C262" s="242" t="s">
        <v>183</v>
      </c>
      <c r="D262" s="242"/>
      <c r="E262" s="303"/>
      <c r="F262" s="201" t="str">
        <f>"(Line "&amp;A260&amp;" * Line "&amp;A261&amp;")"</f>
        <v>(Line 155 * Line 156)</v>
      </c>
      <c r="H262" s="212">
        <f>H260*H261</f>
        <v>114099402.09935261</v>
      </c>
    </row>
    <row r="263" spans="1:9">
      <c r="A263" s="266"/>
      <c r="B263" s="230"/>
      <c r="E263" s="205"/>
      <c r="H263" s="477"/>
    </row>
    <row r="264" spans="1:9">
      <c r="A264" s="266"/>
      <c r="B264" s="243" t="s">
        <v>184</v>
      </c>
      <c r="E264" s="205"/>
      <c r="H264" s="477"/>
    </row>
    <row r="265" spans="1:9">
      <c r="A265" s="230">
        <f>+A262+1</f>
        <v>158</v>
      </c>
      <c r="C265" s="243" t="s">
        <v>185</v>
      </c>
      <c r="D265" s="285"/>
      <c r="E265" s="248"/>
      <c r="F265" s="201" t="str">
        <f>"(Attachment 3, Line "&amp;'3 - Revenue Credits'!A34&amp;")"</f>
        <v>(Attachment 3, Line 17)</v>
      </c>
      <c r="H265" s="207">
        <f>+'3 - Revenue Credits'!D34</f>
        <v>-2275450</v>
      </c>
    </row>
    <row r="266" spans="1:9" ht="21" thickBot="1">
      <c r="A266" s="230"/>
      <c r="B266" s="230"/>
      <c r="F266" s="306"/>
      <c r="H266" s="477"/>
    </row>
    <row r="267" spans="1:9" s="9" customFormat="1" ht="21" thickBot="1">
      <c r="A267" s="307">
        <f>+A265+1</f>
        <v>159</v>
      </c>
      <c r="B267" s="308"/>
      <c r="C267" s="309" t="s">
        <v>186</v>
      </c>
      <c r="D267" s="225"/>
      <c r="E267" s="310"/>
      <c r="F267" s="225" t="str">
        <f>"(Line "&amp;A262&amp;" + Line "&amp;A265&amp;")"</f>
        <v>(Line 157 + Line 158)</v>
      </c>
      <c r="G267" s="746"/>
      <c r="H267" s="484">
        <f>H262+H265</f>
        <v>111823952.09935261</v>
      </c>
    </row>
    <row r="268" spans="1:9" s="9" customFormat="1">
      <c r="A268" s="227"/>
      <c r="B268" s="242"/>
      <c r="C268" s="243"/>
      <c r="D268" s="288"/>
      <c r="E268" s="227"/>
      <c r="F268" s="288"/>
      <c r="G268" s="737"/>
      <c r="H268" s="212"/>
    </row>
    <row r="269" spans="1:9" s="9" customFormat="1">
      <c r="A269" s="244" t="s">
        <v>187</v>
      </c>
      <c r="B269" s="245"/>
      <c r="C269" s="281"/>
      <c r="D269" s="206"/>
      <c r="E269" s="246"/>
      <c r="F269" s="206"/>
      <c r="G269" s="749"/>
      <c r="H269" s="199"/>
    </row>
    <row r="270" spans="1:9">
      <c r="A270" s="266"/>
      <c r="B270" s="230"/>
      <c r="H270" s="477"/>
    </row>
    <row r="271" spans="1:9">
      <c r="A271" s="230"/>
      <c r="B271" s="242" t="s">
        <v>188</v>
      </c>
      <c r="H271" s="477"/>
    </row>
    <row r="272" spans="1:9">
      <c r="A272" s="230">
        <f>+A267+1</f>
        <v>160</v>
      </c>
      <c r="B272" s="230"/>
      <c r="C272" s="197" t="str">
        <f>+C261</f>
        <v>Gross Revenue Requirement</v>
      </c>
      <c r="F272" s="197" t="str">
        <f>"(Line "&amp;A254&amp;")"</f>
        <v>(Line 151)</v>
      </c>
      <c r="H272" s="212">
        <f>+H254</f>
        <v>114465540.53871587</v>
      </c>
    </row>
    <row r="273" spans="1:8">
      <c r="A273" s="230">
        <f>+A272+1</f>
        <v>161</v>
      </c>
      <c r="B273" s="230"/>
      <c r="C273" s="197" t="s">
        <v>189</v>
      </c>
      <c r="F273" s="197" t="str">
        <f>"(Line "&amp;A33&amp;" + Line "&amp;A46&amp;" + Line "&amp;A68&amp;")"</f>
        <v>(Line 13 + Line 21 + Line 32)</v>
      </c>
      <c r="H273" s="212">
        <f>+H33+H46+H68</f>
        <v>620177581.36363554</v>
      </c>
    </row>
    <row r="274" spans="1:8">
      <c r="A274" s="230">
        <f>+A273+1</f>
        <v>162</v>
      </c>
      <c r="B274" s="230"/>
      <c r="C274" s="197" t="s">
        <v>190</v>
      </c>
      <c r="F274" s="197" t="str">
        <f>"(Line "&amp;A272&amp;" / Line "&amp;A273&amp;")"</f>
        <v>(Line 160 / Line 161)</v>
      </c>
      <c r="H274" s="485">
        <f>H272/H273</f>
        <v>0.18456897504587486</v>
      </c>
    </row>
    <row r="275" spans="1:8">
      <c r="A275" s="230">
        <f>+A274+1</f>
        <v>163</v>
      </c>
      <c r="B275" s="230"/>
      <c r="C275" s="197" t="s">
        <v>191</v>
      </c>
      <c r="F275" s="197" t="str">
        <f>"(Line "&amp;A272&amp;" - Line "&amp;A149&amp;") / Line "&amp;A273</f>
        <v>(Line 160 - Line 79) / Line 161</v>
      </c>
      <c r="H275" s="485">
        <f>(H272-H149)/H273</f>
        <v>0.16079268860572027</v>
      </c>
    </row>
    <row r="276" spans="1:8">
      <c r="A276" s="230">
        <f>+A275+1</f>
        <v>164</v>
      </c>
      <c r="B276" s="230"/>
      <c r="C276" s="197" t="s">
        <v>192</v>
      </c>
      <c r="F276" s="197" t="str">
        <f>"(Line "&amp;A272&amp;" - Line "&amp;A149&amp;" - Line "&amp;A251&amp;" - Line "&amp;A252&amp;") / Line "&amp;A273</f>
        <v>(Line 160 - Line 79 - Line 149 - Line 150) / Line 161</v>
      </c>
      <c r="H276" s="485">
        <f>(H272-H149-H251-H252)/H273</f>
        <v>8.5109847250114071E-2</v>
      </c>
    </row>
    <row r="277" spans="1:8">
      <c r="A277" s="230"/>
      <c r="B277" s="230"/>
      <c r="H277" s="477"/>
    </row>
    <row r="278" spans="1:8">
      <c r="A278" s="230">
        <f>+A276+1</f>
        <v>165</v>
      </c>
      <c r="B278" s="230"/>
      <c r="C278" s="242" t="s">
        <v>186</v>
      </c>
      <c r="F278" s="197" t="str">
        <f>"(Line "&amp;A267&amp;")"</f>
        <v>(Line 159)</v>
      </c>
      <c r="H278" s="212">
        <f>H267</f>
        <v>111823952.09935261</v>
      </c>
    </row>
    <row r="279" spans="1:8">
      <c r="A279" s="230">
        <f t="shared" ref="A279:A284" si="6">+A278+1</f>
        <v>166</v>
      </c>
      <c r="B279" s="230"/>
      <c r="C279" s="197" t="s">
        <v>193</v>
      </c>
      <c r="E279" s="248" t="str">
        <f>"(Note "&amp;B$312&amp;")"</f>
        <v>(Note P)</v>
      </c>
      <c r="F279" s="201" t="str">
        <f>"(Attachment 6A, Line "&amp;'6A - NITS True-Up '!B40&amp;")"</f>
        <v>(Attachment 6A, Line E)</v>
      </c>
      <c r="H279" s="212">
        <f>+'6A - NITS True-Up '!I40</f>
        <v>-4099804.241384191</v>
      </c>
    </row>
    <row r="280" spans="1:8">
      <c r="A280" s="230">
        <f t="shared" si="6"/>
        <v>167</v>
      </c>
      <c r="B280" s="230"/>
      <c r="C280" s="197" t="s">
        <v>194</v>
      </c>
      <c r="E280" s="248"/>
      <c r="F280" s="489" t="str">
        <f>"(Attachment 11, Line "&amp;'11 - Corrections'!A29&amp;")"</f>
        <v>(Attachment 11, Line 11)</v>
      </c>
      <c r="H280" s="212">
        <f>+'11 - Corrections'!I29</f>
        <v>1452118.6569798747</v>
      </c>
    </row>
    <row r="281" spans="1:8">
      <c r="A281" s="230">
        <f t="shared" si="6"/>
        <v>168</v>
      </c>
      <c r="B281" s="230"/>
      <c r="C281" s="197" t="s">
        <v>195</v>
      </c>
      <c r="E281" s="248" t="str">
        <f>"(Note "&amp;B$313&amp;")"</f>
        <v>(Note Q)</v>
      </c>
      <c r="F281" s="201" t="str">
        <f>"(Attachment 7A, Line "&amp;'7A - Project ROE Adder'!A18&amp;")"</f>
        <v>(Attachment 7A, Line 9)</v>
      </c>
      <c r="H281" s="212">
        <f>+'7A - Project ROE Adder'!E18</f>
        <v>0</v>
      </c>
    </row>
    <row r="282" spans="1:8">
      <c r="A282" s="230">
        <f t="shared" si="6"/>
        <v>169</v>
      </c>
      <c r="B282" s="230"/>
      <c r="C282" s="197" t="s">
        <v>196</v>
      </c>
      <c r="E282" s="248" t="str">
        <f>"(Note "&amp;B$314&amp;")"</f>
        <v>(Note R)</v>
      </c>
      <c r="F282" s="844" t="str">
        <f>"(Attachment 7B, Line "&amp;'7B - Schedule 12 Projects'!A19&amp;")"</f>
        <v>(Attachment 7B, Line 8)</v>
      </c>
      <c r="H282" s="212">
        <f>+'7B - Schedule 12 Projects'!G19</f>
        <v>3564453.7474992983</v>
      </c>
    </row>
    <row r="283" spans="1:8">
      <c r="A283" s="230">
        <f t="shared" si="6"/>
        <v>170</v>
      </c>
      <c r="B283" s="230"/>
      <c r="C283" s="255" t="s">
        <v>197</v>
      </c>
      <c r="D283" s="460"/>
      <c r="E283" s="256" t="str">
        <f>"(Note "&amp;B$315&amp;")"</f>
        <v>(Note S)</v>
      </c>
      <c r="F283" s="204" t="str">
        <f>"(Attachment 4, Line "&amp;'4 - Cost Support'!A175</f>
        <v>(Attachment 4, Line 71</v>
      </c>
      <c r="G283" s="740"/>
      <c r="H283" s="486">
        <f>+'4 - Cost Support'!S175</f>
        <v>0</v>
      </c>
    </row>
    <row r="284" spans="1:8">
      <c r="A284" s="230">
        <f t="shared" si="6"/>
        <v>171</v>
      </c>
      <c r="B284" s="230"/>
      <c r="C284" s="242" t="s">
        <v>198</v>
      </c>
      <c r="F284" s="861" t="str">
        <f>"(Line "&amp;A278&amp;" + "&amp;A279&amp;" + "&amp;A280&amp;"+"&amp;A281&amp;" - "&amp;A282&amp;" + "&amp;A283&amp;")"</f>
        <v>(Line 165 + 166 + 167+168 - 169 + 170)</v>
      </c>
      <c r="G284" s="862"/>
      <c r="H284" s="860">
        <f>(H278+H279+H280 +H281-H282+H283)</f>
        <v>105611812.76744899</v>
      </c>
    </row>
    <row r="285" spans="1:8">
      <c r="A285" s="230"/>
      <c r="B285" s="230"/>
      <c r="H285" s="487"/>
    </row>
    <row r="286" spans="1:8">
      <c r="A286" s="230"/>
      <c r="B286" s="243" t="s">
        <v>199</v>
      </c>
      <c r="H286" s="487"/>
    </row>
    <row r="287" spans="1:8">
      <c r="A287" s="230">
        <f>+A284+1</f>
        <v>172</v>
      </c>
      <c r="B287" s="230"/>
      <c r="C287" s="197" t="s">
        <v>200</v>
      </c>
      <c r="E287" s="248" t="str">
        <f>"(Note "&amp;B$304&amp;")"</f>
        <v>(Note H)</v>
      </c>
      <c r="F287" s="201" t="str">
        <f>"(Attachment 4, Line "&amp;'4 - Cost Support'!A183&amp;")"</f>
        <v>(Attachment 4, Line 72)</v>
      </c>
      <c r="H287" s="850">
        <v>3241</v>
      </c>
    </row>
    <row r="288" spans="1:8">
      <c r="A288" s="230">
        <f>+A287+1</f>
        <v>173</v>
      </c>
      <c r="B288" s="230"/>
      <c r="C288" s="197" t="s">
        <v>201</v>
      </c>
      <c r="D288" s="231"/>
      <c r="E288" s="311"/>
      <c r="F288" s="201" t="str">
        <f>"(Line "&amp;A284&amp;" / "&amp;A287&amp;")"</f>
        <v>(Line 171 / 172)</v>
      </c>
      <c r="G288" s="757"/>
      <c r="H288" s="502">
        <f>H284/H287</f>
        <v>32586.18104518636</v>
      </c>
    </row>
    <row r="289" spans="1:8" ht="21" thickBot="1">
      <c r="A289" s="230"/>
      <c r="B289" s="230"/>
      <c r="E289" s="311"/>
      <c r="F289" s="229"/>
      <c r="G289" s="757"/>
      <c r="H289" s="226"/>
    </row>
    <row r="290" spans="1:8">
      <c r="A290" s="637">
        <f>+A288+1</f>
        <v>174</v>
      </c>
      <c r="B290" s="638"/>
      <c r="C290" s="639" t="s">
        <v>202</v>
      </c>
      <c r="D290" s="638"/>
      <c r="E290" s="638"/>
      <c r="F290" s="640" t="str">
        <f>"(Line "&amp;A288&amp;")"</f>
        <v>(Line 173)</v>
      </c>
      <c r="G290" s="747"/>
      <c r="H290" s="641">
        <f>H288</f>
        <v>32586.18104518636</v>
      </c>
    </row>
    <row r="291" spans="1:8">
      <c r="A291" s="642">
        <f>+A290+1</f>
        <v>175</v>
      </c>
      <c r="B291" s="227"/>
      <c r="C291" s="243" t="s">
        <v>203</v>
      </c>
      <c r="D291" s="227"/>
      <c r="E291" s="227"/>
      <c r="F291" s="228" t="str">
        <f>"(Line "&amp;A290&amp;" / 12)"</f>
        <v>(Line 174 / 12)</v>
      </c>
      <c r="H291" s="643">
        <f>+H290/12</f>
        <v>2715.5150870988632</v>
      </c>
    </row>
    <row r="292" spans="1:8">
      <c r="A292" s="642">
        <f t="shared" ref="A292:A293" si="7">+A291+1</f>
        <v>176</v>
      </c>
      <c r="B292" s="227"/>
      <c r="C292" s="243" t="s">
        <v>204</v>
      </c>
      <c r="D292" s="227"/>
      <c r="E292" s="227"/>
      <c r="F292" s="228" t="str">
        <f>"(Line "&amp;A290&amp;" / 52)"</f>
        <v>(Line 174 / 52)</v>
      </c>
      <c r="H292" s="643">
        <f>+H290/52</f>
        <v>626.65732779204541</v>
      </c>
    </row>
    <row r="293" spans="1:8">
      <c r="A293" s="642">
        <f t="shared" si="7"/>
        <v>177</v>
      </c>
      <c r="B293" s="227"/>
      <c r="C293" s="243" t="s">
        <v>205</v>
      </c>
      <c r="D293" s="227"/>
      <c r="E293" s="227"/>
      <c r="F293" s="228" t="str">
        <f>"(Line "&amp;A292&amp;" / 5)"</f>
        <v>(Line 176 / 5)</v>
      </c>
      <c r="H293" s="643">
        <f>+H292/5</f>
        <v>125.33146555840908</v>
      </c>
    </row>
    <row r="294" spans="1:8" ht="21" thickBot="1">
      <c r="A294" s="644">
        <f>+A293+1</f>
        <v>178</v>
      </c>
      <c r="B294" s="645"/>
      <c r="C294" s="646" t="s">
        <v>206</v>
      </c>
      <c r="D294" s="645"/>
      <c r="E294" s="645"/>
      <c r="F294" s="648" t="str">
        <f>"(Line "&amp;A292&amp;" / 7)"</f>
        <v>(Line 176 / 7)</v>
      </c>
      <c r="G294" s="748"/>
      <c r="H294" s="647">
        <f>+H292/7</f>
        <v>89.522475398863634</v>
      </c>
    </row>
    <row r="295" spans="1:8">
      <c r="A295" s="227"/>
      <c r="B295" s="227"/>
      <c r="C295" s="243"/>
      <c r="D295" s="227"/>
      <c r="E295" s="227"/>
      <c r="F295" s="227"/>
      <c r="H295" s="502"/>
    </row>
    <row r="296" spans="1:8">
      <c r="A296" s="244" t="s">
        <v>3</v>
      </c>
      <c r="B296" s="245"/>
      <c r="C296" s="281"/>
      <c r="D296" s="206"/>
      <c r="E296" s="246"/>
      <c r="F296" s="206"/>
      <c r="G296" s="749"/>
      <c r="H296" s="199"/>
    </row>
    <row r="297" spans="1:8" ht="46.5" customHeight="1">
      <c r="A297" s="227"/>
      <c r="B297" s="230" t="s">
        <v>207</v>
      </c>
      <c r="C297" s="197" t="s">
        <v>208</v>
      </c>
      <c r="E297" s="311"/>
      <c r="F297" s="229"/>
      <c r="G297" s="757"/>
      <c r="H297" s="532"/>
    </row>
    <row r="298" spans="1:8" ht="38.25" customHeight="1">
      <c r="A298" s="227"/>
      <c r="B298" s="695" t="s">
        <v>209</v>
      </c>
      <c r="C298" s="888" t="s">
        <v>210</v>
      </c>
      <c r="D298" s="888"/>
      <c r="E298" s="888"/>
      <c r="F298" s="888"/>
      <c r="G298" s="888"/>
      <c r="H298" s="888"/>
    </row>
    <row r="299" spans="1:8" ht="28.15" customHeight="1">
      <c r="A299" s="227"/>
      <c r="B299" s="695" t="s">
        <v>211</v>
      </c>
      <c r="C299" s="197" t="s">
        <v>212</v>
      </c>
      <c r="E299" s="311"/>
      <c r="F299" s="229"/>
      <c r="G299" s="757"/>
      <c r="H299" s="226"/>
    </row>
    <row r="300" spans="1:8" ht="28.15" customHeight="1">
      <c r="A300" s="227"/>
      <c r="B300" s="695" t="s">
        <v>213</v>
      </c>
      <c r="C300" s="197" t="s">
        <v>214</v>
      </c>
      <c r="E300" s="311"/>
      <c r="F300" s="229"/>
      <c r="G300" s="757"/>
      <c r="H300" s="226"/>
    </row>
    <row r="301" spans="1:8" ht="38.25" customHeight="1">
      <c r="A301" s="227"/>
      <c r="B301" s="695" t="s">
        <v>215</v>
      </c>
      <c r="C301" s="888" t="s">
        <v>216</v>
      </c>
      <c r="D301" s="888"/>
      <c r="E301" s="888"/>
      <c r="F301" s="888"/>
      <c r="G301" s="888"/>
      <c r="H301" s="888"/>
    </row>
    <row r="302" spans="1:8" ht="28.15" customHeight="1">
      <c r="A302" s="227"/>
      <c r="B302" s="695" t="s">
        <v>217</v>
      </c>
      <c r="C302" s="197" t="s">
        <v>218</v>
      </c>
      <c r="E302" s="311"/>
      <c r="F302" s="229"/>
      <c r="G302" s="757"/>
      <c r="H302" s="229"/>
    </row>
    <row r="303" spans="1:8" ht="192.75" customHeight="1">
      <c r="A303" s="227"/>
      <c r="B303" s="695" t="s">
        <v>219</v>
      </c>
      <c r="C303" s="888" t="s">
        <v>220</v>
      </c>
      <c r="D303" s="888"/>
      <c r="E303" s="888"/>
      <c r="F303" s="888"/>
      <c r="G303" s="888"/>
      <c r="H303" s="888"/>
    </row>
    <row r="304" spans="1:8" ht="65.25" customHeight="1">
      <c r="A304" s="227"/>
      <c r="B304" s="695" t="s">
        <v>221</v>
      </c>
      <c r="C304" s="888" t="s">
        <v>222</v>
      </c>
      <c r="D304" s="888"/>
      <c r="E304" s="888"/>
      <c r="F304" s="888"/>
      <c r="G304" s="888"/>
      <c r="H304" s="888"/>
    </row>
    <row r="305" spans="1:8" ht="28.15" customHeight="1">
      <c r="A305" s="230"/>
      <c r="B305" s="695" t="s">
        <v>223</v>
      </c>
      <c r="C305" s="197" t="s">
        <v>224</v>
      </c>
      <c r="E305" s="311"/>
      <c r="F305" s="229"/>
      <c r="G305" s="757"/>
      <c r="H305" s="226"/>
    </row>
    <row r="306" spans="1:8" ht="150.75" customHeight="1">
      <c r="A306" s="312"/>
      <c r="B306" s="695" t="s">
        <v>225</v>
      </c>
      <c r="C306" s="888" t="s">
        <v>226</v>
      </c>
      <c r="D306" s="888"/>
      <c r="E306" s="888"/>
      <c r="F306" s="888"/>
      <c r="G306" s="888"/>
      <c r="H306" s="888"/>
    </row>
    <row r="307" spans="1:8" ht="47.25" customHeight="1">
      <c r="B307" s="695" t="s">
        <v>227</v>
      </c>
      <c r="C307" s="888" t="s">
        <v>228</v>
      </c>
      <c r="D307" s="888"/>
      <c r="E307" s="888"/>
      <c r="F307" s="888"/>
      <c r="G307" s="888"/>
      <c r="H307" s="888"/>
    </row>
    <row r="308" spans="1:8" ht="28.15" customHeight="1">
      <c r="A308" s="227"/>
      <c r="B308" s="695" t="s">
        <v>229</v>
      </c>
      <c r="C308" s="197" t="s">
        <v>230</v>
      </c>
      <c r="E308" s="311"/>
      <c r="F308" s="229"/>
      <c r="G308" s="757"/>
      <c r="H308" s="226"/>
    </row>
    <row r="309" spans="1:8" ht="28.15" customHeight="1">
      <c r="A309" s="8"/>
      <c r="B309" s="695" t="s">
        <v>231</v>
      </c>
      <c r="C309" s="197" t="s">
        <v>232</v>
      </c>
      <c r="E309" s="311"/>
      <c r="F309" s="229"/>
      <c r="G309" s="757"/>
      <c r="H309" s="229"/>
    </row>
    <row r="310" spans="1:8" ht="72.75" customHeight="1">
      <c r="A310" s="8"/>
      <c r="B310" s="695" t="s">
        <v>233</v>
      </c>
      <c r="C310" s="888" t="s">
        <v>234</v>
      </c>
      <c r="D310" s="888"/>
      <c r="E310" s="888"/>
      <c r="F310" s="888"/>
      <c r="G310" s="888"/>
      <c r="H310" s="888"/>
    </row>
    <row r="311" spans="1:8" ht="113.25" customHeight="1">
      <c r="A311" s="8"/>
      <c r="B311" s="696" t="s">
        <v>235</v>
      </c>
      <c r="C311" s="888" t="s">
        <v>236</v>
      </c>
      <c r="D311" s="888"/>
      <c r="E311" s="888"/>
      <c r="F311" s="888"/>
      <c r="G311" s="888"/>
      <c r="H311" s="888"/>
    </row>
    <row r="312" spans="1:8" ht="52.5" customHeight="1">
      <c r="A312" s="8"/>
      <c r="B312" s="696" t="s">
        <v>237</v>
      </c>
      <c r="C312" s="888" t="s">
        <v>238</v>
      </c>
      <c r="D312" s="888"/>
      <c r="E312" s="888"/>
      <c r="F312" s="888"/>
      <c r="G312" s="888"/>
      <c r="H312" s="888"/>
    </row>
    <row r="313" spans="1:8" ht="30.6" customHeight="1">
      <c r="A313" s="8"/>
      <c r="B313" s="696" t="s">
        <v>239</v>
      </c>
      <c r="C313" s="197" t="s">
        <v>240</v>
      </c>
    </row>
    <row r="314" spans="1:8" ht="45.75" customHeight="1">
      <c r="B314" s="696" t="s">
        <v>241</v>
      </c>
      <c r="C314" s="888" t="s">
        <v>242</v>
      </c>
      <c r="D314" s="888"/>
      <c r="E314" s="888"/>
      <c r="F314" s="888"/>
      <c r="G314" s="888"/>
      <c r="H314" s="888"/>
    </row>
    <row r="315" spans="1:8" ht="23.25" customHeight="1">
      <c r="B315" s="696" t="s">
        <v>243</v>
      </c>
      <c r="C315" s="197" t="s">
        <v>244</v>
      </c>
    </row>
    <row r="316" spans="1:8" ht="44.25" customHeight="1">
      <c r="B316" s="696" t="s">
        <v>245</v>
      </c>
      <c r="C316" s="888" t="s">
        <v>246</v>
      </c>
      <c r="D316" s="888"/>
      <c r="E316" s="888"/>
      <c r="F316" s="888"/>
      <c r="G316" s="888"/>
      <c r="H316" s="888"/>
    </row>
    <row r="317" spans="1:8" ht="29.25" customHeight="1">
      <c r="B317" s="696" t="s">
        <v>247</v>
      </c>
      <c r="C317" s="46" t="s">
        <v>248</v>
      </c>
      <c r="G317" s="758"/>
      <c r="H317" s="8"/>
    </row>
    <row r="318" spans="1:8" ht="35.25" customHeight="1">
      <c r="B318" s="696" t="s">
        <v>249</v>
      </c>
      <c r="C318" s="46" t="s">
        <v>250</v>
      </c>
      <c r="G318" s="758"/>
      <c r="H318" s="8"/>
    </row>
    <row r="319" spans="1:8" ht="48.75" customHeight="1">
      <c r="A319" s="227" t="s">
        <v>251</v>
      </c>
      <c r="B319" s="696" t="s">
        <v>252</v>
      </c>
      <c r="C319" s="889" t="s">
        <v>253</v>
      </c>
      <c r="D319" s="889"/>
      <c r="E319" s="889"/>
      <c r="F319" s="889"/>
      <c r="G319" s="889"/>
      <c r="H319" s="889"/>
    </row>
    <row r="320" spans="1:8">
      <c r="B320" s="696"/>
      <c r="G320" s="758"/>
      <c r="H320" s="8"/>
    </row>
    <row r="321" spans="7:8">
      <c r="G321" s="758"/>
      <c r="H321" s="8"/>
    </row>
    <row r="322" spans="7:8">
      <c r="G322" s="758"/>
      <c r="H322" s="8"/>
    </row>
    <row r="323" spans="7:8">
      <c r="G323" s="758"/>
      <c r="H323" s="8"/>
    </row>
    <row r="324" spans="7:8">
      <c r="G324" s="758"/>
      <c r="H324" s="8"/>
    </row>
    <row r="325" spans="7:8">
      <c r="G325" s="758"/>
      <c r="H325" s="8"/>
    </row>
    <row r="326" spans="7:8">
      <c r="G326" s="758"/>
      <c r="H326" s="8"/>
    </row>
    <row r="327" spans="7:8">
      <c r="G327" s="758"/>
      <c r="H327" s="8"/>
    </row>
    <row r="328" spans="7:8">
      <c r="G328" s="758"/>
      <c r="H328" s="8"/>
    </row>
    <row r="329" spans="7:8">
      <c r="G329" s="758"/>
      <c r="H329" s="8"/>
    </row>
    <row r="330" spans="7:8">
      <c r="G330" s="758"/>
      <c r="H330" s="8"/>
    </row>
    <row r="331" spans="7:8">
      <c r="G331" s="758"/>
      <c r="H331" s="8"/>
    </row>
    <row r="332" spans="7:8">
      <c r="G332" s="758"/>
      <c r="H332" s="8"/>
    </row>
    <row r="333" spans="7:8">
      <c r="G333" s="758"/>
      <c r="H333" s="8"/>
    </row>
    <row r="334" spans="7:8">
      <c r="G334" s="758"/>
      <c r="H334" s="8"/>
    </row>
    <row r="335" spans="7:8">
      <c r="G335" s="758"/>
      <c r="H335" s="8"/>
    </row>
    <row r="336" spans="7:8">
      <c r="G336" s="758"/>
      <c r="H336" s="8"/>
    </row>
    <row r="337" spans="7:8">
      <c r="G337" s="758"/>
      <c r="H337" s="8"/>
    </row>
    <row r="338" spans="7:8">
      <c r="G338" s="758"/>
      <c r="H338" s="8"/>
    </row>
    <row r="339" spans="7:8">
      <c r="G339" s="758"/>
      <c r="H339" s="8"/>
    </row>
    <row r="340" spans="7:8">
      <c r="G340" s="758"/>
      <c r="H340" s="8"/>
    </row>
    <row r="341" spans="7:8">
      <c r="G341" s="758"/>
      <c r="H341" s="8"/>
    </row>
    <row r="342" spans="7:8">
      <c r="G342" s="758"/>
      <c r="H342" s="8"/>
    </row>
    <row r="343" spans="7:8">
      <c r="G343" s="758"/>
      <c r="H343" s="8"/>
    </row>
    <row r="344" spans="7:8">
      <c r="G344" s="758"/>
      <c r="H344" s="8"/>
    </row>
    <row r="345" spans="7:8">
      <c r="G345" s="758"/>
      <c r="H345" s="8"/>
    </row>
    <row r="346" spans="7:8">
      <c r="G346" s="758"/>
      <c r="H346" s="8"/>
    </row>
    <row r="347" spans="7:8">
      <c r="G347" s="758"/>
      <c r="H347" s="8"/>
    </row>
    <row r="348" spans="7:8">
      <c r="G348" s="758"/>
      <c r="H348" s="8"/>
    </row>
    <row r="349" spans="7:8">
      <c r="G349" s="758"/>
      <c r="H349" s="8"/>
    </row>
    <row r="350" spans="7:8">
      <c r="G350" s="758"/>
      <c r="H350" s="8"/>
    </row>
    <row r="351" spans="7:8">
      <c r="G351" s="758"/>
      <c r="H351" s="8"/>
    </row>
    <row r="352" spans="7:8">
      <c r="G352" s="758"/>
      <c r="H352" s="8"/>
    </row>
    <row r="353" spans="7:8">
      <c r="G353" s="758"/>
      <c r="H353" s="8"/>
    </row>
    <row r="354" spans="7:8">
      <c r="G354" s="758"/>
      <c r="H354" s="8"/>
    </row>
    <row r="355" spans="7:8">
      <c r="G355" s="758"/>
      <c r="H355" s="8"/>
    </row>
    <row r="356" spans="7:8">
      <c r="G356" s="758"/>
      <c r="H356" s="8"/>
    </row>
    <row r="357" spans="7:8">
      <c r="G357" s="758"/>
      <c r="H357" s="8"/>
    </row>
    <row r="358" spans="7:8">
      <c r="G358" s="758"/>
      <c r="H358" s="8"/>
    </row>
    <row r="359" spans="7:8">
      <c r="G359" s="758"/>
      <c r="H359" s="8"/>
    </row>
    <row r="360" spans="7:8">
      <c r="G360" s="758"/>
      <c r="H360" s="8"/>
    </row>
    <row r="361" spans="7:8">
      <c r="G361" s="758"/>
      <c r="H361" s="8"/>
    </row>
    <row r="362" spans="7:8">
      <c r="G362" s="758"/>
      <c r="H362" s="8"/>
    </row>
    <row r="363" spans="7:8">
      <c r="G363" s="758"/>
      <c r="H363" s="8"/>
    </row>
    <row r="364" spans="7:8">
      <c r="G364" s="758"/>
      <c r="H364" s="8"/>
    </row>
    <row r="365" spans="7:8">
      <c r="G365" s="758"/>
      <c r="H365" s="8"/>
    </row>
    <row r="366" spans="7:8">
      <c r="G366" s="758"/>
      <c r="H366" s="8"/>
    </row>
    <row r="367" spans="7:8">
      <c r="G367" s="758"/>
      <c r="H367" s="8"/>
    </row>
    <row r="368" spans="7:8">
      <c r="G368" s="758"/>
      <c r="H368" s="8"/>
    </row>
    <row r="369" spans="7:8">
      <c r="G369" s="758"/>
      <c r="H369" s="8"/>
    </row>
    <row r="370" spans="7:8">
      <c r="G370" s="758"/>
      <c r="H370" s="8"/>
    </row>
    <row r="371" spans="7:8">
      <c r="G371" s="758"/>
      <c r="H371" s="8"/>
    </row>
    <row r="372" spans="7:8">
      <c r="G372" s="758"/>
      <c r="H372" s="8"/>
    </row>
    <row r="373" spans="7:8">
      <c r="G373" s="758"/>
      <c r="H373" s="8"/>
    </row>
    <row r="374" spans="7:8">
      <c r="G374" s="758"/>
      <c r="H374" s="8"/>
    </row>
    <row r="375" spans="7:8">
      <c r="G375" s="758"/>
      <c r="H375" s="8"/>
    </row>
    <row r="376" spans="7:8">
      <c r="G376" s="758"/>
      <c r="H376" s="8"/>
    </row>
    <row r="377" spans="7:8">
      <c r="G377" s="758"/>
      <c r="H377" s="8"/>
    </row>
    <row r="378" spans="7:8">
      <c r="G378" s="758"/>
      <c r="H378" s="8"/>
    </row>
    <row r="379" spans="7:8">
      <c r="G379" s="758"/>
      <c r="H379" s="8"/>
    </row>
    <row r="380" spans="7:8">
      <c r="G380" s="758"/>
      <c r="H380" s="8"/>
    </row>
    <row r="381" spans="7:8">
      <c r="G381" s="758"/>
      <c r="H381" s="8"/>
    </row>
    <row r="382" spans="7:8">
      <c r="G382" s="758"/>
      <c r="H382" s="8"/>
    </row>
    <row r="383" spans="7:8">
      <c r="G383" s="758"/>
      <c r="H383" s="8"/>
    </row>
    <row r="384" spans="7:8">
      <c r="G384" s="758"/>
      <c r="H384" s="8"/>
    </row>
    <row r="385" spans="7:8">
      <c r="G385" s="758"/>
      <c r="H385" s="8"/>
    </row>
    <row r="386" spans="7:8">
      <c r="G386" s="758"/>
      <c r="H386" s="8"/>
    </row>
    <row r="387" spans="7:8">
      <c r="G387" s="758"/>
      <c r="H387" s="8"/>
    </row>
    <row r="388" spans="7:8">
      <c r="G388" s="758"/>
      <c r="H388" s="8"/>
    </row>
    <row r="389" spans="7:8">
      <c r="G389" s="758"/>
      <c r="H389" s="8"/>
    </row>
    <row r="390" spans="7:8">
      <c r="G390" s="758"/>
      <c r="H390" s="8"/>
    </row>
    <row r="391" spans="7:8">
      <c r="G391" s="758"/>
      <c r="H391" s="8"/>
    </row>
    <row r="392" spans="7:8">
      <c r="G392" s="758"/>
      <c r="H392" s="8"/>
    </row>
    <row r="393" spans="7:8">
      <c r="G393" s="758"/>
      <c r="H393" s="8"/>
    </row>
    <row r="394" spans="7:8">
      <c r="G394" s="758"/>
      <c r="H394" s="8"/>
    </row>
    <row r="395" spans="7:8">
      <c r="G395" s="758"/>
      <c r="H395" s="8"/>
    </row>
    <row r="396" spans="7:8">
      <c r="G396" s="758"/>
      <c r="H396" s="8"/>
    </row>
    <row r="397" spans="7:8">
      <c r="G397" s="758"/>
      <c r="H397" s="8"/>
    </row>
    <row r="398" spans="7:8">
      <c r="G398" s="758"/>
      <c r="H398" s="8"/>
    </row>
    <row r="399" spans="7:8">
      <c r="G399" s="758"/>
      <c r="H399" s="8"/>
    </row>
    <row r="400" spans="7:8">
      <c r="G400" s="758"/>
      <c r="H400" s="8"/>
    </row>
    <row r="401" spans="7:8">
      <c r="G401" s="758"/>
      <c r="H401" s="8"/>
    </row>
    <row r="402" spans="7:8">
      <c r="G402" s="758"/>
      <c r="H402" s="8"/>
    </row>
    <row r="403" spans="7:8">
      <c r="G403" s="758"/>
      <c r="H403" s="8"/>
    </row>
    <row r="404" spans="7:8">
      <c r="G404" s="758"/>
      <c r="H404" s="8"/>
    </row>
    <row r="405" spans="7:8">
      <c r="G405" s="758"/>
      <c r="H405" s="8"/>
    </row>
    <row r="406" spans="7:8">
      <c r="G406" s="758"/>
      <c r="H406" s="8"/>
    </row>
    <row r="407" spans="7:8">
      <c r="G407" s="758"/>
      <c r="H407" s="8"/>
    </row>
    <row r="408" spans="7:8">
      <c r="G408" s="758"/>
      <c r="H408" s="8"/>
    </row>
    <row r="409" spans="7:8">
      <c r="G409" s="758"/>
      <c r="H409" s="8"/>
    </row>
    <row r="410" spans="7:8">
      <c r="G410" s="758"/>
      <c r="H410" s="8"/>
    </row>
    <row r="411" spans="7:8">
      <c r="G411" s="758"/>
      <c r="H411" s="8"/>
    </row>
    <row r="412" spans="7:8">
      <c r="G412" s="758"/>
      <c r="H412" s="8"/>
    </row>
    <row r="413" spans="7:8">
      <c r="G413" s="758"/>
      <c r="H413" s="8"/>
    </row>
    <row r="414" spans="7:8">
      <c r="G414" s="758"/>
      <c r="H414" s="8"/>
    </row>
    <row r="415" spans="7:8">
      <c r="G415" s="758"/>
      <c r="H415" s="8"/>
    </row>
    <row r="416" spans="7:8">
      <c r="G416" s="758"/>
      <c r="H416" s="8"/>
    </row>
    <row r="417" spans="7:8">
      <c r="G417" s="758"/>
      <c r="H417" s="8"/>
    </row>
    <row r="418" spans="7:8">
      <c r="G418" s="758"/>
      <c r="H418" s="8"/>
    </row>
    <row r="419" spans="7:8">
      <c r="G419" s="758"/>
      <c r="H419" s="8"/>
    </row>
    <row r="420" spans="7:8">
      <c r="G420" s="758"/>
      <c r="H420" s="8"/>
    </row>
    <row r="421" spans="7:8">
      <c r="G421" s="758"/>
      <c r="H421" s="8"/>
    </row>
    <row r="422" spans="7:8">
      <c r="G422" s="758"/>
      <c r="H422" s="8"/>
    </row>
    <row r="423" spans="7:8">
      <c r="G423" s="758"/>
      <c r="H423" s="8"/>
    </row>
    <row r="424" spans="7:8">
      <c r="G424" s="758"/>
      <c r="H424" s="8"/>
    </row>
    <row r="425" spans="7:8">
      <c r="G425" s="758"/>
      <c r="H425" s="8"/>
    </row>
    <row r="426" spans="7:8">
      <c r="G426" s="758"/>
      <c r="H426" s="8"/>
    </row>
    <row r="427" spans="7:8">
      <c r="G427" s="758"/>
      <c r="H427" s="8"/>
    </row>
    <row r="428" spans="7:8">
      <c r="G428" s="758"/>
      <c r="H428" s="8"/>
    </row>
    <row r="429" spans="7:8">
      <c r="G429" s="758"/>
      <c r="H429" s="8"/>
    </row>
    <row r="430" spans="7:8">
      <c r="G430" s="758"/>
      <c r="H430" s="8"/>
    </row>
    <row r="431" spans="7:8">
      <c r="G431" s="758"/>
      <c r="H431" s="8"/>
    </row>
    <row r="432" spans="7:8">
      <c r="G432" s="758"/>
      <c r="H432" s="8"/>
    </row>
    <row r="433" spans="7:8">
      <c r="G433" s="758"/>
      <c r="H433" s="8"/>
    </row>
    <row r="434" spans="7:8">
      <c r="G434" s="758"/>
      <c r="H434" s="8"/>
    </row>
    <row r="435" spans="7:8">
      <c r="G435" s="758"/>
      <c r="H435" s="8"/>
    </row>
    <row r="436" spans="7:8">
      <c r="G436" s="758"/>
      <c r="H436" s="8"/>
    </row>
    <row r="437" spans="7:8">
      <c r="G437" s="758"/>
      <c r="H437" s="8"/>
    </row>
    <row r="438" spans="7:8">
      <c r="G438" s="758"/>
      <c r="H438" s="8"/>
    </row>
    <row r="439" spans="7:8">
      <c r="G439" s="758"/>
      <c r="H439" s="8"/>
    </row>
    <row r="440" spans="7:8">
      <c r="G440" s="758"/>
      <c r="H440" s="8"/>
    </row>
    <row r="441" spans="7:8">
      <c r="G441" s="758"/>
      <c r="H441" s="8"/>
    </row>
    <row r="442" spans="7:8">
      <c r="G442" s="758"/>
      <c r="H442" s="8"/>
    </row>
    <row r="443" spans="7:8">
      <c r="G443" s="758"/>
      <c r="H443" s="8"/>
    </row>
    <row r="444" spans="7:8">
      <c r="G444" s="758"/>
      <c r="H444" s="8"/>
    </row>
    <row r="445" spans="7:8">
      <c r="G445" s="758"/>
      <c r="H445" s="8"/>
    </row>
    <row r="446" spans="7:8">
      <c r="G446" s="758"/>
      <c r="H446" s="8"/>
    </row>
    <row r="447" spans="7:8">
      <c r="G447" s="758"/>
      <c r="H447" s="8"/>
    </row>
    <row r="448" spans="7:8">
      <c r="G448" s="758"/>
      <c r="H448" s="8"/>
    </row>
    <row r="449" spans="7:8">
      <c r="G449" s="758"/>
      <c r="H449" s="8"/>
    </row>
    <row r="450" spans="7:8">
      <c r="G450" s="758"/>
      <c r="H450" s="8"/>
    </row>
    <row r="451" spans="7:8">
      <c r="G451" s="758"/>
      <c r="H451" s="8"/>
    </row>
    <row r="452" spans="7:8">
      <c r="G452" s="758"/>
      <c r="H452" s="8"/>
    </row>
    <row r="453" spans="7:8">
      <c r="G453" s="758"/>
      <c r="H453" s="8"/>
    </row>
    <row r="454" spans="7:8">
      <c r="G454" s="758"/>
      <c r="H454" s="8"/>
    </row>
    <row r="455" spans="7:8">
      <c r="G455" s="758"/>
      <c r="H455" s="8"/>
    </row>
    <row r="456" spans="7:8">
      <c r="G456" s="758"/>
      <c r="H456" s="8"/>
    </row>
    <row r="457" spans="7:8">
      <c r="G457" s="758"/>
      <c r="H457" s="8"/>
    </row>
    <row r="458" spans="7:8">
      <c r="G458" s="758"/>
      <c r="H458" s="8"/>
    </row>
    <row r="459" spans="7:8">
      <c r="G459" s="758"/>
      <c r="H459" s="8"/>
    </row>
    <row r="460" spans="7:8">
      <c r="G460" s="758"/>
      <c r="H460" s="8"/>
    </row>
    <row r="461" spans="7:8">
      <c r="G461" s="758"/>
      <c r="H461" s="8"/>
    </row>
    <row r="462" spans="7:8">
      <c r="G462" s="758"/>
      <c r="H462" s="8"/>
    </row>
    <row r="463" spans="7:8">
      <c r="G463" s="758"/>
      <c r="H463" s="8"/>
    </row>
    <row r="464" spans="7:8">
      <c r="G464" s="758"/>
      <c r="H464" s="8"/>
    </row>
    <row r="465" spans="7:8">
      <c r="G465" s="758"/>
      <c r="H465" s="8"/>
    </row>
    <row r="466" spans="7:8">
      <c r="G466" s="758"/>
      <c r="H466" s="8"/>
    </row>
    <row r="467" spans="7:8">
      <c r="G467" s="758"/>
      <c r="H467" s="8"/>
    </row>
    <row r="468" spans="7:8">
      <c r="G468" s="758"/>
      <c r="H468" s="8"/>
    </row>
    <row r="469" spans="7:8">
      <c r="G469" s="758"/>
      <c r="H469" s="8"/>
    </row>
    <row r="470" spans="7:8">
      <c r="G470" s="758"/>
      <c r="H470" s="8"/>
    </row>
    <row r="471" spans="7:8">
      <c r="G471" s="758"/>
      <c r="H471" s="8"/>
    </row>
    <row r="472" spans="7:8">
      <c r="G472" s="758"/>
      <c r="H472" s="8"/>
    </row>
    <row r="473" spans="7:8">
      <c r="G473" s="758"/>
      <c r="H473" s="8"/>
    </row>
    <row r="474" spans="7:8">
      <c r="G474" s="758"/>
      <c r="H474" s="8"/>
    </row>
    <row r="475" spans="7:8">
      <c r="G475" s="758"/>
      <c r="H475" s="8"/>
    </row>
    <row r="476" spans="7:8">
      <c r="G476" s="758"/>
      <c r="H476" s="8"/>
    </row>
    <row r="477" spans="7:8">
      <c r="G477" s="758"/>
      <c r="H477" s="8"/>
    </row>
    <row r="478" spans="7:8">
      <c r="G478" s="758"/>
      <c r="H478" s="8"/>
    </row>
    <row r="479" spans="7:8">
      <c r="G479" s="758"/>
      <c r="H479" s="8"/>
    </row>
    <row r="480" spans="7:8">
      <c r="G480" s="758"/>
      <c r="H480" s="8"/>
    </row>
    <row r="481" spans="7:8">
      <c r="G481" s="758"/>
      <c r="H481" s="8"/>
    </row>
    <row r="482" spans="7:8">
      <c r="G482" s="758"/>
      <c r="H482" s="8"/>
    </row>
    <row r="483" spans="7:8">
      <c r="G483" s="758"/>
      <c r="H483" s="8"/>
    </row>
    <row r="484" spans="7:8">
      <c r="G484" s="758"/>
      <c r="H484" s="8"/>
    </row>
    <row r="485" spans="7:8">
      <c r="G485" s="758"/>
      <c r="H485" s="8"/>
    </row>
    <row r="486" spans="7:8">
      <c r="G486" s="758"/>
      <c r="H486" s="8"/>
    </row>
    <row r="487" spans="7:8">
      <c r="G487" s="758"/>
      <c r="H487" s="8"/>
    </row>
    <row r="488" spans="7:8">
      <c r="G488" s="758"/>
      <c r="H488" s="8"/>
    </row>
    <row r="489" spans="7:8">
      <c r="G489" s="758"/>
      <c r="H489" s="8"/>
    </row>
    <row r="490" spans="7:8">
      <c r="G490" s="758"/>
      <c r="H490" s="8"/>
    </row>
    <row r="491" spans="7:8">
      <c r="G491" s="758"/>
      <c r="H491" s="8"/>
    </row>
    <row r="492" spans="7:8">
      <c r="G492" s="758"/>
      <c r="H492" s="8"/>
    </row>
    <row r="493" spans="7:8">
      <c r="G493" s="758"/>
      <c r="H493" s="8"/>
    </row>
    <row r="494" spans="7:8">
      <c r="G494" s="758"/>
      <c r="H494" s="8"/>
    </row>
    <row r="495" spans="7:8">
      <c r="G495" s="758"/>
      <c r="H495" s="8"/>
    </row>
    <row r="496" spans="7:8">
      <c r="G496" s="758"/>
      <c r="H496" s="8"/>
    </row>
    <row r="497" spans="7:8">
      <c r="G497" s="758"/>
      <c r="H497" s="8"/>
    </row>
    <row r="498" spans="7:8">
      <c r="G498" s="758"/>
      <c r="H498" s="8"/>
    </row>
    <row r="499" spans="7:8">
      <c r="G499" s="758"/>
      <c r="H499" s="8"/>
    </row>
    <row r="500" spans="7:8">
      <c r="G500" s="758"/>
      <c r="H500" s="8"/>
    </row>
    <row r="501" spans="7:8">
      <c r="G501" s="758"/>
      <c r="H501" s="8"/>
    </row>
    <row r="502" spans="7:8">
      <c r="G502" s="758"/>
      <c r="H502" s="8"/>
    </row>
    <row r="503" spans="7:8">
      <c r="G503" s="758"/>
      <c r="H503" s="8"/>
    </row>
    <row r="504" spans="7:8">
      <c r="G504" s="758"/>
      <c r="H504" s="8"/>
    </row>
    <row r="505" spans="7:8">
      <c r="G505" s="758"/>
      <c r="H505" s="8"/>
    </row>
    <row r="506" spans="7:8">
      <c r="G506" s="758"/>
      <c r="H506" s="8"/>
    </row>
    <row r="507" spans="7:8">
      <c r="G507" s="758"/>
      <c r="H507" s="8"/>
    </row>
    <row r="508" spans="7:8">
      <c r="G508" s="758"/>
      <c r="H508" s="8"/>
    </row>
    <row r="509" spans="7:8">
      <c r="G509" s="758"/>
      <c r="H509" s="8"/>
    </row>
    <row r="510" spans="7:8">
      <c r="G510" s="758"/>
      <c r="H510" s="8"/>
    </row>
    <row r="511" spans="7:8">
      <c r="G511" s="758"/>
      <c r="H511" s="8"/>
    </row>
    <row r="512" spans="7:8">
      <c r="G512" s="758"/>
      <c r="H512" s="8"/>
    </row>
    <row r="513" spans="7:8">
      <c r="G513" s="758"/>
      <c r="H513" s="8"/>
    </row>
    <row r="514" spans="7:8">
      <c r="G514" s="758"/>
      <c r="H514" s="8"/>
    </row>
    <row r="515" spans="7:8">
      <c r="G515" s="758"/>
      <c r="H515" s="8"/>
    </row>
    <row r="516" spans="7:8">
      <c r="G516" s="758"/>
      <c r="H516" s="8"/>
    </row>
    <row r="517" spans="7:8">
      <c r="G517" s="758"/>
      <c r="H517" s="8"/>
    </row>
    <row r="518" spans="7:8">
      <c r="G518" s="758"/>
      <c r="H518" s="8"/>
    </row>
    <row r="519" spans="7:8">
      <c r="G519" s="758"/>
      <c r="H519" s="8"/>
    </row>
    <row r="520" spans="7:8">
      <c r="G520" s="758"/>
      <c r="H520" s="8"/>
    </row>
    <row r="521" spans="7:8">
      <c r="G521" s="758"/>
      <c r="H521" s="8"/>
    </row>
    <row r="522" spans="7:8">
      <c r="G522" s="758"/>
      <c r="H522" s="8"/>
    </row>
    <row r="523" spans="7:8">
      <c r="G523" s="758"/>
      <c r="H523" s="8"/>
    </row>
    <row r="524" spans="7:8">
      <c r="G524" s="758"/>
      <c r="H524" s="8"/>
    </row>
    <row r="525" spans="7:8">
      <c r="G525" s="758"/>
      <c r="H525" s="8"/>
    </row>
    <row r="526" spans="7:8">
      <c r="G526" s="758"/>
      <c r="H526" s="8"/>
    </row>
    <row r="527" spans="7:8">
      <c r="G527" s="758"/>
      <c r="H527" s="8"/>
    </row>
    <row r="528" spans="7:8">
      <c r="G528" s="758"/>
      <c r="H528" s="8"/>
    </row>
    <row r="529" spans="7:8">
      <c r="G529" s="758"/>
      <c r="H529" s="8"/>
    </row>
    <row r="530" spans="7:8">
      <c r="G530" s="758"/>
      <c r="H530" s="8"/>
    </row>
    <row r="531" spans="7:8">
      <c r="G531" s="758"/>
      <c r="H531" s="8"/>
    </row>
    <row r="532" spans="7:8">
      <c r="G532" s="758"/>
      <c r="H532" s="8"/>
    </row>
    <row r="533" spans="7:8">
      <c r="G533" s="758"/>
      <c r="H533" s="8"/>
    </row>
    <row r="534" spans="7:8">
      <c r="G534" s="758"/>
      <c r="H534" s="8"/>
    </row>
    <row r="535" spans="7:8">
      <c r="G535" s="758"/>
      <c r="H535" s="8"/>
    </row>
    <row r="536" spans="7:8">
      <c r="G536" s="758"/>
      <c r="H536" s="8"/>
    </row>
    <row r="537" spans="7:8">
      <c r="G537" s="758"/>
      <c r="H537" s="8"/>
    </row>
    <row r="538" spans="7:8">
      <c r="G538" s="758"/>
      <c r="H538" s="8"/>
    </row>
    <row r="539" spans="7:8">
      <c r="G539" s="758"/>
      <c r="H539" s="8"/>
    </row>
    <row r="540" spans="7:8">
      <c r="G540" s="758"/>
      <c r="H540" s="8"/>
    </row>
    <row r="541" spans="7:8">
      <c r="G541" s="758"/>
      <c r="H541" s="8"/>
    </row>
    <row r="542" spans="7:8">
      <c r="G542" s="758"/>
      <c r="H542" s="8"/>
    </row>
    <row r="543" spans="7:8">
      <c r="G543" s="758"/>
      <c r="H543" s="8"/>
    </row>
    <row r="544" spans="7:8">
      <c r="G544" s="758"/>
      <c r="H544" s="8"/>
    </row>
    <row r="545" spans="7:8">
      <c r="G545" s="758"/>
      <c r="H545" s="8"/>
    </row>
    <row r="546" spans="7:8">
      <c r="G546" s="758"/>
      <c r="H546" s="8"/>
    </row>
    <row r="547" spans="7:8">
      <c r="G547" s="758"/>
      <c r="H547" s="8"/>
    </row>
    <row r="548" spans="7:8">
      <c r="G548" s="758"/>
      <c r="H548" s="8"/>
    </row>
    <row r="549" spans="7:8">
      <c r="G549" s="758"/>
      <c r="H549" s="8"/>
    </row>
    <row r="550" spans="7:8">
      <c r="G550" s="758"/>
      <c r="H550" s="8"/>
    </row>
    <row r="551" spans="7:8">
      <c r="G551" s="758"/>
      <c r="H551" s="8"/>
    </row>
    <row r="552" spans="7:8">
      <c r="G552" s="758"/>
      <c r="H552" s="8"/>
    </row>
    <row r="553" spans="7:8">
      <c r="G553" s="758"/>
      <c r="H553" s="8"/>
    </row>
    <row r="554" spans="7:8">
      <c r="G554" s="758"/>
      <c r="H554" s="8"/>
    </row>
    <row r="555" spans="7:8">
      <c r="G555" s="758"/>
      <c r="H555" s="8"/>
    </row>
    <row r="556" spans="7:8">
      <c r="G556" s="758"/>
      <c r="H556" s="8"/>
    </row>
    <row r="557" spans="7:8">
      <c r="G557" s="758"/>
      <c r="H557" s="8"/>
    </row>
    <row r="558" spans="7:8">
      <c r="G558" s="758"/>
      <c r="H558" s="8"/>
    </row>
    <row r="559" spans="7:8">
      <c r="G559" s="758"/>
      <c r="H559" s="8"/>
    </row>
    <row r="560" spans="7:8">
      <c r="G560" s="758"/>
      <c r="H560" s="8"/>
    </row>
    <row r="561" spans="7:8">
      <c r="G561" s="758"/>
      <c r="H561" s="8"/>
    </row>
    <row r="562" spans="7:8">
      <c r="G562" s="758"/>
      <c r="H562" s="8"/>
    </row>
    <row r="563" spans="7:8">
      <c r="G563" s="758"/>
      <c r="H563" s="8"/>
    </row>
    <row r="564" spans="7:8">
      <c r="G564" s="758"/>
      <c r="H564" s="8"/>
    </row>
    <row r="565" spans="7:8">
      <c r="G565" s="758"/>
      <c r="H565" s="8"/>
    </row>
    <row r="566" spans="7:8">
      <c r="G566" s="758"/>
      <c r="H566" s="8"/>
    </row>
    <row r="567" spans="7:8">
      <c r="G567" s="758"/>
      <c r="H567" s="8"/>
    </row>
    <row r="568" spans="7:8">
      <c r="G568" s="758"/>
      <c r="H568" s="8"/>
    </row>
    <row r="569" spans="7:8">
      <c r="G569" s="758"/>
      <c r="H569" s="8"/>
    </row>
    <row r="570" spans="7:8">
      <c r="G570" s="758"/>
      <c r="H570" s="8"/>
    </row>
    <row r="571" spans="7:8">
      <c r="G571" s="758"/>
      <c r="H571" s="8"/>
    </row>
    <row r="572" spans="7:8">
      <c r="G572" s="758"/>
      <c r="H572" s="8"/>
    </row>
    <row r="573" spans="7:8">
      <c r="G573" s="758"/>
      <c r="H573" s="8"/>
    </row>
    <row r="574" spans="7:8">
      <c r="G574" s="758"/>
      <c r="H574" s="8"/>
    </row>
    <row r="575" spans="7:8">
      <c r="G575" s="758"/>
      <c r="H575" s="8"/>
    </row>
    <row r="576" spans="7:8">
      <c r="G576" s="758"/>
      <c r="H576" s="8"/>
    </row>
    <row r="577" spans="7:8">
      <c r="G577" s="758"/>
      <c r="H577" s="8"/>
    </row>
    <row r="578" spans="7:8">
      <c r="G578" s="758"/>
      <c r="H578" s="8"/>
    </row>
    <row r="579" spans="7:8">
      <c r="G579" s="758"/>
      <c r="H579" s="8"/>
    </row>
    <row r="580" spans="7:8">
      <c r="G580" s="758"/>
      <c r="H580" s="8"/>
    </row>
    <row r="581" spans="7:8">
      <c r="G581" s="758"/>
      <c r="H581" s="8"/>
    </row>
    <row r="582" spans="7:8">
      <c r="G582" s="758"/>
      <c r="H582" s="8"/>
    </row>
    <row r="583" spans="7:8">
      <c r="G583" s="758"/>
      <c r="H583" s="8"/>
    </row>
    <row r="584" spans="7:8">
      <c r="G584" s="758"/>
      <c r="H584" s="8"/>
    </row>
    <row r="585" spans="7:8">
      <c r="G585" s="758"/>
      <c r="H585" s="8"/>
    </row>
    <row r="586" spans="7:8">
      <c r="G586" s="758"/>
      <c r="H586" s="8"/>
    </row>
    <row r="587" spans="7:8">
      <c r="G587" s="758"/>
      <c r="H587" s="8"/>
    </row>
    <row r="588" spans="7:8">
      <c r="G588" s="758"/>
      <c r="H588" s="8"/>
    </row>
    <row r="589" spans="7:8">
      <c r="G589" s="758"/>
      <c r="H589" s="8"/>
    </row>
    <row r="590" spans="7:8">
      <c r="G590" s="758"/>
      <c r="H590" s="8"/>
    </row>
    <row r="591" spans="7:8">
      <c r="G591" s="758"/>
      <c r="H591" s="8"/>
    </row>
    <row r="592" spans="7:8">
      <c r="G592" s="758"/>
      <c r="H592" s="8"/>
    </row>
    <row r="593" spans="7:8">
      <c r="G593" s="758"/>
      <c r="H593" s="8"/>
    </row>
    <row r="594" spans="7:8">
      <c r="G594" s="758"/>
      <c r="H594" s="8"/>
    </row>
    <row r="595" spans="7:8">
      <c r="G595" s="758"/>
      <c r="H595" s="8"/>
    </row>
    <row r="596" spans="7:8">
      <c r="G596" s="758"/>
      <c r="H596" s="8"/>
    </row>
    <row r="597" spans="7:8">
      <c r="G597" s="758"/>
      <c r="H597" s="8"/>
    </row>
    <row r="598" spans="7:8">
      <c r="G598" s="758"/>
      <c r="H598" s="8"/>
    </row>
    <row r="599" spans="7:8">
      <c r="G599" s="758"/>
      <c r="H599" s="8"/>
    </row>
    <row r="600" spans="7:8">
      <c r="G600" s="758"/>
      <c r="H600" s="8"/>
    </row>
    <row r="601" spans="7:8">
      <c r="G601" s="758"/>
      <c r="H601" s="8"/>
    </row>
    <row r="602" spans="7:8">
      <c r="G602" s="758"/>
      <c r="H602" s="8"/>
    </row>
    <row r="603" spans="7:8">
      <c r="G603" s="758"/>
      <c r="H603" s="8"/>
    </row>
    <row r="604" spans="7:8">
      <c r="G604" s="758"/>
      <c r="H604" s="8"/>
    </row>
    <row r="605" spans="7:8">
      <c r="G605" s="758"/>
      <c r="H605" s="8"/>
    </row>
    <row r="606" spans="7:8">
      <c r="G606" s="758"/>
      <c r="H606" s="8"/>
    </row>
    <row r="607" spans="7:8">
      <c r="G607" s="758"/>
      <c r="H607" s="8"/>
    </row>
    <row r="608" spans="7:8">
      <c r="G608" s="758"/>
      <c r="H608" s="8"/>
    </row>
    <row r="609" spans="7:8">
      <c r="G609" s="758"/>
      <c r="H609" s="8"/>
    </row>
    <row r="610" spans="7:8">
      <c r="G610" s="758"/>
      <c r="H610" s="8"/>
    </row>
    <row r="611" spans="7:8">
      <c r="G611" s="758"/>
      <c r="H611" s="8"/>
    </row>
    <row r="612" spans="7:8">
      <c r="G612" s="758"/>
      <c r="H612" s="8"/>
    </row>
    <row r="613" spans="7:8">
      <c r="G613" s="758"/>
      <c r="H613" s="8"/>
    </row>
    <row r="614" spans="7:8">
      <c r="G614" s="758"/>
      <c r="H614" s="8"/>
    </row>
    <row r="615" spans="7:8">
      <c r="G615" s="758"/>
      <c r="H615" s="8"/>
    </row>
    <row r="616" spans="7:8">
      <c r="G616" s="758"/>
      <c r="H616" s="8"/>
    </row>
    <row r="617" spans="7:8">
      <c r="G617" s="758"/>
      <c r="H617" s="8"/>
    </row>
    <row r="618" spans="7:8">
      <c r="G618" s="758"/>
      <c r="H618" s="8"/>
    </row>
    <row r="619" spans="7:8">
      <c r="G619" s="758"/>
      <c r="H619" s="8"/>
    </row>
    <row r="620" spans="7:8">
      <c r="G620" s="758"/>
      <c r="H620" s="8"/>
    </row>
    <row r="621" spans="7:8">
      <c r="G621" s="758"/>
      <c r="H621" s="8"/>
    </row>
    <row r="622" spans="7:8">
      <c r="G622" s="758"/>
      <c r="H622" s="8"/>
    </row>
    <row r="623" spans="7:8">
      <c r="G623" s="758"/>
      <c r="H623" s="8"/>
    </row>
    <row r="624" spans="7:8">
      <c r="G624" s="758"/>
      <c r="H624" s="8"/>
    </row>
    <row r="625" spans="7:8">
      <c r="G625" s="758"/>
      <c r="H625" s="8"/>
    </row>
    <row r="626" spans="7:8">
      <c r="G626" s="758"/>
      <c r="H626" s="8"/>
    </row>
    <row r="627" spans="7:8">
      <c r="G627" s="758"/>
      <c r="H627" s="8"/>
    </row>
    <row r="628" spans="7:8">
      <c r="G628" s="758"/>
      <c r="H628" s="8"/>
    </row>
    <row r="629" spans="7:8">
      <c r="G629" s="758"/>
      <c r="H629" s="8"/>
    </row>
    <row r="630" spans="7:8">
      <c r="G630" s="758"/>
      <c r="H630" s="8"/>
    </row>
    <row r="631" spans="7:8">
      <c r="G631" s="758"/>
      <c r="H631" s="8"/>
    </row>
    <row r="632" spans="7:8">
      <c r="G632" s="758"/>
      <c r="H632" s="8"/>
    </row>
    <row r="633" spans="7:8">
      <c r="G633" s="758"/>
      <c r="H633" s="8"/>
    </row>
    <row r="634" spans="7:8">
      <c r="G634" s="758"/>
      <c r="H634" s="8"/>
    </row>
    <row r="635" spans="7:8">
      <c r="G635" s="758"/>
      <c r="H635" s="8"/>
    </row>
    <row r="636" spans="7:8">
      <c r="G636" s="758"/>
      <c r="H636" s="8"/>
    </row>
    <row r="637" spans="7:8">
      <c r="G637" s="758"/>
      <c r="H637" s="8"/>
    </row>
    <row r="638" spans="7:8">
      <c r="G638" s="758"/>
      <c r="H638" s="8"/>
    </row>
    <row r="639" spans="7:8">
      <c r="G639" s="758"/>
      <c r="H639" s="8"/>
    </row>
    <row r="640" spans="7:8">
      <c r="G640" s="758"/>
      <c r="H640" s="8"/>
    </row>
    <row r="641" spans="7:8">
      <c r="G641" s="758"/>
      <c r="H641" s="8"/>
    </row>
    <row r="642" spans="7:8">
      <c r="G642" s="758"/>
      <c r="H642" s="8"/>
    </row>
    <row r="643" spans="7:8">
      <c r="G643" s="758"/>
      <c r="H643" s="8"/>
    </row>
    <row r="644" spans="7:8">
      <c r="G644" s="758"/>
      <c r="H644" s="8"/>
    </row>
    <row r="645" spans="7:8">
      <c r="G645" s="758"/>
      <c r="H645" s="8"/>
    </row>
    <row r="646" spans="7:8">
      <c r="G646" s="758"/>
      <c r="H646" s="8"/>
    </row>
    <row r="647" spans="7:8">
      <c r="G647" s="758"/>
      <c r="H647" s="8"/>
    </row>
    <row r="648" spans="7:8">
      <c r="G648" s="758"/>
      <c r="H648" s="8"/>
    </row>
    <row r="649" spans="7:8">
      <c r="G649" s="758"/>
      <c r="H649" s="8"/>
    </row>
    <row r="650" spans="7:8">
      <c r="G650" s="758"/>
      <c r="H650" s="8"/>
    </row>
    <row r="651" spans="7:8">
      <c r="G651" s="758"/>
      <c r="H651" s="8"/>
    </row>
    <row r="652" spans="7:8">
      <c r="G652" s="758"/>
      <c r="H652" s="8"/>
    </row>
    <row r="653" spans="7:8">
      <c r="G653" s="758"/>
      <c r="H653" s="8"/>
    </row>
    <row r="654" spans="7:8">
      <c r="G654" s="758"/>
      <c r="H654" s="8"/>
    </row>
    <row r="655" spans="7:8">
      <c r="G655" s="758"/>
      <c r="H655" s="8"/>
    </row>
    <row r="656" spans="7:8">
      <c r="G656" s="758"/>
      <c r="H656" s="8"/>
    </row>
    <row r="657" spans="7:8">
      <c r="G657" s="758"/>
      <c r="H657" s="8"/>
    </row>
    <row r="658" spans="7:8">
      <c r="G658" s="758"/>
      <c r="H658" s="8"/>
    </row>
    <row r="659" spans="7:8">
      <c r="G659" s="758"/>
      <c r="H659" s="8"/>
    </row>
    <row r="660" spans="7:8">
      <c r="G660" s="758"/>
      <c r="H660" s="8"/>
    </row>
    <row r="661" spans="7:8">
      <c r="G661" s="758"/>
      <c r="H661" s="8"/>
    </row>
    <row r="662" spans="7:8">
      <c r="G662" s="758"/>
      <c r="H662" s="8"/>
    </row>
    <row r="663" spans="7:8">
      <c r="G663" s="758"/>
      <c r="H663" s="8"/>
    </row>
    <row r="664" spans="7:8">
      <c r="G664" s="758"/>
      <c r="H664" s="8"/>
    </row>
    <row r="665" spans="7:8">
      <c r="G665" s="758"/>
      <c r="H665" s="8"/>
    </row>
    <row r="666" spans="7:8">
      <c r="G666" s="758"/>
      <c r="H666" s="8"/>
    </row>
    <row r="667" spans="7:8">
      <c r="G667" s="758"/>
      <c r="H667" s="8"/>
    </row>
    <row r="668" spans="7:8">
      <c r="G668" s="758"/>
      <c r="H668" s="8"/>
    </row>
    <row r="669" spans="7:8">
      <c r="G669" s="758"/>
      <c r="H669" s="8"/>
    </row>
    <row r="670" spans="7:8">
      <c r="G670" s="758"/>
      <c r="H670" s="8"/>
    </row>
    <row r="671" spans="7:8">
      <c r="G671" s="758"/>
      <c r="H671" s="8"/>
    </row>
    <row r="672" spans="7:8">
      <c r="G672" s="758"/>
      <c r="H672" s="8"/>
    </row>
    <row r="673" spans="7:8">
      <c r="G673" s="758"/>
      <c r="H673" s="8"/>
    </row>
    <row r="674" spans="7:8">
      <c r="G674" s="758"/>
      <c r="H674" s="8"/>
    </row>
    <row r="675" spans="7:8">
      <c r="G675" s="758"/>
      <c r="H675" s="8"/>
    </row>
    <row r="676" spans="7:8">
      <c r="G676" s="758"/>
      <c r="H676" s="8"/>
    </row>
    <row r="677" spans="7:8">
      <c r="G677" s="758"/>
      <c r="H677" s="8"/>
    </row>
    <row r="678" spans="7:8">
      <c r="G678" s="758"/>
      <c r="H678" s="8"/>
    </row>
    <row r="679" spans="7:8">
      <c r="G679" s="758"/>
      <c r="H679" s="8"/>
    </row>
    <row r="680" spans="7:8">
      <c r="G680" s="758"/>
      <c r="H680" s="8"/>
    </row>
    <row r="681" spans="7:8">
      <c r="G681" s="758"/>
      <c r="H681" s="8"/>
    </row>
    <row r="682" spans="7:8">
      <c r="G682" s="758"/>
      <c r="H682" s="8"/>
    </row>
    <row r="683" spans="7:8">
      <c r="G683" s="758"/>
      <c r="H683" s="8"/>
    </row>
    <row r="684" spans="7:8">
      <c r="G684" s="758"/>
      <c r="H684" s="8"/>
    </row>
    <row r="685" spans="7:8">
      <c r="G685" s="758"/>
      <c r="H685" s="8"/>
    </row>
    <row r="686" spans="7:8">
      <c r="G686" s="758"/>
      <c r="H686" s="8"/>
    </row>
    <row r="687" spans="7:8">
      <c r="G687" s="758"/>
      <c r="H687" s="8"/>
    </row>
    <row r="688" spans="7:8">
      <c r="G688" s="758"/>
      <c r="H688" s="8"/>
    </row>
    <row r="689" spans="7:8">
      <c r="G689" s="758"/>
      <c r="H689" s="8"/>
    </row>
    <row r="690" spans="7:8">
      <c r="G690" s="758"/>
      <c r="H690" s="8"/>
    </row>
    <row r="691" spans="7:8">
      <c r="G691" s="758"/>
      <c r="H691" s="8"/>
    </row>
    <row r="692" spans="7:8">
      <c r="G692" s="758"/>
      <c r="H692" s="8"/>
    </row>
    <row r="693" spans="7:8">
      <c r="G693" s="758"/>
      <c r="H693" s="8"/>
    </row>
    <row r="694" spans="7:8">
      <c r="G694" s="758"/>
      <c r="H694" s="8"/>
    </row>
    <row r="695" spans="7:8">
      <c r="G695" s="758"/>
      <c r="H695" s="8"/>
    </row>
    <row r="696" spans="7:8">
      <c r="G696" s="758"/>
      <c r="H696" s="8"/>
    </row>
    <row r="697" spans="7:8">
      <c r="G697" s="758"/>
      <c r="H697" s="8"/>
    </row>
    <row r="698" spans="7:8">
      <c r="G698" s="758"/>
      <c r="H698" s="8"/>
    </row>
    <row r="699" spans="7:8">
      <c r="G699" s="758"/>
      <c r="H699" s="8"/>
    </row>
    <row r="700" spans="7:8">
      <c r="G700" s="758"/>
      <c r="H700" s="8"/>
    </row>
    <row r="701" spans="7:8">
      <c r="G701" s="758"/>
      <c r="H701" s="8"/>
    </row>
    <row r="702" spans="7:8">
      <c r="G702" s="758"/>
      <c r="H702" s="8"/>
    </row>
    <row r="703" spans="7:8">
      <c r="G703" s="758"/>
      <c r="H703" s="8"/>
    </row>
    <row r="704" spans="7:8">
      <c r="G704" s="758"/>
      <c r="H704" s="8"/>
    </row>
    <row r="705" spans="7:8">
      <c r="G705" s="758"/>
      <c r="H705" s="8"/>
    </row>
    <row r="706" spans="7:8">
      <c r="G706" s="758"/>
      <c r="H706" s="8"/>
    </row>
    <row r="707" spans="7:8">
      <c r="G707" s="758"/>
      <c r="H707" s="8"/>
    </row>
    <row r="708" spans="7:8">
      <c r="G708" s="758"/>
      <c r="H708" s="8"/>
    </row>
    <row r="709" spans="7:8">
      <c r="G709" s="758"/>
      <c r="H709" s="8"/>
    </row>
    <row r="710" spans="7:8">
      <c r="G710" s="758"/>
      <c r="H710" s="8"/>
    </row>
    <row r="711" spans="7:8">
      <c r="G711" s="758"/>
      <c r="H711" s="8"/>
    </row>
    <row r="712" spans="7:8">
      <c r="G712" s="758"/>
      <c r="H712" s="8"/>
    </row>
    <row r="713" spans="7:8">
      <c r="G713" s="758"/>
      <c r="H713" s="8"/>
    </row>
    <row r="714" spans="7:8">
      <c r="G714" s="758"/>
      <c r="H714" s="8"/>
    </row>
    <row r="715" spans="7:8">
      <c r="G715" s="758"/>
      <c r="H715" s="8"/>
    </row>
    <row r="716" spans="7:8">
      <c r="G716" s="758"/>
      <c r="H716" s="8"/>
    </row>
    <row r="717" spans="7:8">
      <c r="G717" s="758"/>
      <c r="H717" s="8"/>
    </row>
    <row r="718" spans="7:8">
      <c r="G718" s="758"/>
      <c r="H718" s="8"/>
    </row>
    <row r="719" spans="7:8">
      <c r="G719" s="758"/>
      <c r="H719" s="8"/>
    </row>
    <row r="720" spans="7:8">
      <c r="G720" s="758"/>
      <c r="H720" s="8"/>
    </row>
    <row r="721" spans="7:8">
      <c r="G721" s="758"/>
      <c r="H721" s="8"/>
    </row>
    <row r="722" spans="7:8">
      <c r="G722" s="758"/>
      <c r="H722" s="8"/>
    </row>
    <row r="723" spans="7:8">
      <c r="G723" s="758"/>
      <c r="H723" s="8"/>
    </row>
    <row r="724" spans="7:8">
      <c r="G724" s="758"/>
      <c r="H724" s="8"/>
    </row>
    <row r="725" spans="7:8">
      <c r="G725" s="758"/>
      <c r="H725" s="8"/>
    </row>
    <row r="726" spans="7:8">
      <c r="G726" s="758"/>
      <c r="H726" s="8"/>
    </row>
    <row r="727" spans="7:8">
      <c r="G727" s="758"/>
      <c r="H727" s="8"/>
    </row>
    <row r="728" spans="7:8">
      <c r="G728" s="758"/>
      <c r="H728" s="8"/>
    </row>
    <row r="729" spans="7:8">
      <c r="G729" s="758"/>
      <c r="H729" s="8"/>
    </row>
    <row r="730" spans="7:8">
      <c r="G730" s="758"/>
      <c r="H730" s="8"/>
    </row>
    <row r="731" spans="7:8">
      <c r="G731" s="758"/>
      <c r="H731" s="8"/>
    </row>
    <row r="732" spans="7:8">
      <c r="G732" s="758"/>
      <c r="H732" s="8"/>
    </row>
    <row r="733" spans="7:8">
      <c r="G733" s="758"/>
      <c r="H733" s="8"/>
    </row>
    <row r="734" spans="7:8">
      <c r="G734" s="758"/>
      <c r="H734" s="8"/>
    </row>
    <row r="735" spans="7:8">
      <c r="G735" s="758"/>
      <c r="H735" s="8"/>
    </row>
    <row r="736" spans="7:8">
      <c r="G736" s="758"/>
      <c r="H736" s="8"/>
    </row>
    <row r="737" spans="7:8">
      <c r="G737" s="758"/>
      <c r="H737" s="8"/>
    </row>
    <row r="738" spans="7:8">
      <c r="G738" s="758"/>
      <c r="H738" s="8"/>
    </row>
    <row r="739" spans="7:8">
      <c r="G739" s="758"/>
      <c r="H739" s="8"/>
    </row>
    <row r="740" spans="7:8">
      <c r="G740" s="758"/>
      <c r="H740" s="8"/>
    </row>
    <row r="741" spans="7:8">
      <c r="G741" s="758"/>
      <c r="H741" s="8"/>
    </row>
    <row r="742" spans="7:8">
      <c r="G742" s="758"/>
      <c r="H742" s="8"/>
    </row>
    <row r="743" spans="7:8">
      <c r="G743" s="758"/>
      <c r="H743" s="8"/>
    </row>
    <row r="744" spans="7:8">
      <c r="G744" s="758"/>
      <c r="H744" s="8"/>
    </row>
    <row r="745" spans="7:8">
      <c r="G745" s="758"/>
      <c r="H745" s="8"/>
    </row>
    <row r="746" spans="7:8">
      <c r="G746" s="758"/>
      <c r="H746" s="8"/>
    </row>
    <row r="747" spans="7:8">
      <c r="G747" s="758"/>
      <c r="H747" s="8"/>
    </row>
    <row r="748" spans="7:8">
      <c r="G748" s="758"/>
      <c r="H748" s="8"/>
    </row>
    <row r="749" spans="7:8">
      <c r="G749" s="758"/>
      <c r="H749" s="8"/>
    </row>
    <row r="750" spans="7:8">
      <c r="G750" s="758"/>
      <c r="H750" s="8"/>
    </row>
    <row r="751" spans="7:8">
      <c r="G751" s="758"/>
      <c r="H751" s="8"/>
    </row>
    <row r="752" spans="7:8">
      <c r="G752" s="758"/>
      <c r="H752" s="8"/>
    </row>
    <row r="753" spans="7:8">
      <c r="G753" s="758"/>
      <c r="H753" s="8"/>
    </row>
    <row r="754" spans="7:8">
      <c r="G754" s="758"/>
      <c r="H754" s="8"/>
    </row>
    <row r="755" spans="7:8">
      <c r="G755" s="758"/>
      <c r="H755" s="8"/>
    </row>
    <row r="756" spans="7:8">
      <c r="G756" s="758"/>
      <c r="H756" s="8"/>
    </row>
    <row r="757" spans="7:8">
      <c r="G757" s="758"/>
      <c r="H757" s="8"/>
    </row>
    <row r="758" spans="7:8">
      <c r="G758" s="758"/>
      <c r="H758" s="8"/>
    </row>
    <row r="759" spans="7:8">
      <c r="G759" s="758"/>
      <c r="H759" s="8"/>
    </row>
    <row r="760" spans="7:8">
      <c r="G760" s="758"/>
      <c r="H760" s="8"/>
    </row>
    <row r="761" spans="7:8">
      <c r="G761" s="758"/>
      <c r="H761" s="8"/>
    </row>
    <row r="762" spans="7:8">
      <c r="G762" s="758"/>
      <c r="H762" s="8"/>
    </row>
    <row r="763" spans="7:8">
      <c r="G763" s="758"/>
      <c r="H763" s="8"/>
    </row>
    <row r="764" spans="7:8">
      <c r="G764" s="758"/>
      <c r="H764" s="8"/>
    </row>
    <row r="765" spans="7:8">
      <c r="G765" s="758"/>
      <c r="H765" s="8"/>
    </row>
    <row r="766" spans="7:8">
      <c r="G766" s="758"/>
      <c r="H766" s="8"/>
    </row>
    <row r="767" spans="7:8">
      <c r="G767" s="758"/>
      <c r="H767" s="8"/>
    </row>
    <row r="768" spans="7:8">
      <c r="G768" s="758"/>
      <c r="H768" s="8"/>
    </row>
    <row r="769" spans="7:8">
      <c r="G769" s="758"/>
      <c r="H769" s="8"/>
    </row>
    <row r="770" spans="7:8">
      <c r="G770" s="758"/>
      <c r="H770" s="8"/>
    </row>
    <row r="771" spans="7:8">
      <c r="G771" s="758"/>
      <c r="H771" s="8"/>
    </row>
    <row r="772" spans="7:8">
      <c r="G772" s="758"/>
      <c r="H772" s="8"/>
    </row>
    <row r="773" spans="7:8">
      <c r="G773" s="758"/>
      <c r="H773" s="8"/>
    </row>
    <row r="774" spans="7:8">
      <c r="G774" s="758"/>
      <c r="H774" s="8"/>
    </row>
    <row r="775" spans="7:8">
      <c r="G775" s="758"/>
      <c r="H775" s="8"/>
    </row>
    <row r="776" spans="7:8">
      <c r="G776" s="758"/>
      <c r="H776" s="8"/>
    </row>
    <row r="777" spans="7:8">
      <c r="G777" s="758"/>
      <c r="H777" s="8"/>
    </row>
    <row r="778" spans="7:8">
      <c r="G778" s="758"/>
      <c r="H778" s="8"/>
    </row>
    <row r="779" spans="7:8">
      <c r="G779" s="758"/>
      <c r="H779" s="8"/>
    </row>
    <row r="780" spans="7:8">
      <c r="G780" s="758"/>
      <c r="H780" s="8"/>
    </row>
    <row r="781" spans="7:8">
      <c r="G781" s="758"/>
      <c r="H781" s="8"/>
    </row>
    <row r="782" spans="7:8">
      <c r="G782" s="758"/>
      <c r="H782" s="8"/>
    </row>
    <row r="783" spans="7:8">
      <c r="G783" s="758"/>
      <c r="H783" s="8"/>
    </row>
    <row r="784" spans="7:8">
      <c r="G784" s="758"/>
      <c r="H784" s="8"/>
    </row>
    <row r="785" spans="7:8">
      <c r="G785" s="758"/>
      <c r="H785" s="8"/>
    </row>
    <row r="786" spans="7:8">
      <c r="G786" s="758"/>
      <c r="H786" s="8"/>
    </row>
    <row r="787" spans="7:8">
      <c r="G787" s="758"/>
      <c r="H787" s="8"/>
    </row>
    <row r="788" spans="7:8">
      <c r="G788" s="758"/>
      <c r="H788" s="8"/>
    </row>
    <row r="789" spans="7:8">
      <c r="G789" s="758"/>
      <c r="H789" s="8"/>
    </row>
    <row r="790" spans="7:8">
      <c r="G790" s="758"/>
      <c r="H790" s="8"/>
    </row>
    <row r="791" spans="7:8">
      <c r="G791" s="758"/>
      <c r="H791" s="8"/>
    </row>
    <row r="792" spans="7:8">
      <c r="G792" s="758"/>
      <c r="H792" s="8"/>
    </row>
    <row r="793" spans="7:8">
      <c r="G793" s="758"/>
      <c r="H793" s="8"/>
    </row>
    <row r="794" spans="7:8">
      <c r="G794" s="758"/>
      <c r="H794" s="8"/>
    </row>
    <row r="795" spans="7:8">
      <c r="G795" s="758"/>
      <c r="H795" s="8"/>
    </row>
    <row r="796" spans="7:8">
      <c r="G796" s="758"/>
      <c r="H796" s="8"/>
    </row>
    <row r="797" spans="7:8">
      <c r="G797" s="758"/>
      <c r="H797" s="8"/>
    </row>
    <row r="798" spans="7:8">
      <c r="G798" s="758"/>
      <c r="H798" s="8"/>
    </row>
    <row r="799" spans="7:8">
      <c r="G799" s="758"/>
      <c r="H799" s="8"/>
    </row>
    <row r="800" spans="7:8">
      <c r="G800" s="758"/>
      <c r="H800" s="8"/>
    </row>
    <row r="801" spans="7:8">
      <c r="G801" s="758"/>
      <c r="H801" s="8"/>
    </row>
    <row r="802" spans="7:8">
      <c r="G802" s="758"/>
      <c r="H802" s="8"/>
    </row>
    <row r="803" spans="7:8">
      <c r="G803" s="758"/>
      <c r="H803" s="8"/>
    </row>
    <row r="804" spans="7:8">
      <c r="G804" s="758"/>
      <c r="H804" s="8"/>
    </row>
    <row r="805" spans="7:8">
      <c r="G805" s="758"/>
      <c r="H805" s="8"/>
    </row>
    <row r="806" spans="7:8">
      <c r="G806" s="758"/>
      <c r="H806" s="8"/>
    </row>
    <row r="807" spans="7:8">
      <c r="G807" s="758"/>
      <c r="H807" s="8"/>
    </row>
    <row r="808" spans="7:8">
      <c r="G808" s="758"/>
      <c r="H808" s="8"/>
    </row>
    <row r="809" spans="7:8">
      <c r="G809" s="758"/>
      <c r="H809" s="8"/>
    </row>
    <row r="810" spans="7:8">
      <c r="G810" s="758"/>
      <c r="H810" s="8"/>
    </row>
    <row r="811" spans="7:8">
      <c r="G811" s="758"/>
      <c r="H811" s="8"/>
    </row>
    <row r="812" spans="7:8">
      <c r="G812" s="758"/>
      <c r="H812" s="8"/>
    </row>
    <row r="813" spans="7:8">
      <c r="G813" s="758"/>
      <c r="H813" s="8"/>
    </row>
    <row r="814" spans="7:8">
      <c r="G814" s="758"/>
      <c r="H814" s="8"/>
    </row>
    <row r="815" spans="7:8">
      <c r="G815" s="758"/>
      <c r="H815" s="8"/>
    </row>
    <row r="816" spans="7:8">
      <c r="G816" s="758"/>
      <c r="H816" s="8"/>
    </row>
    <row r="817" spans="7:8">
      <c r="G817" s="758"/>
      <c r="H817" s="8"/>
    </row>
    <row r="818" spans="7:8">
      <c r="G818" s="758"/>
      <c r="H818" s="8"/>
    </row>
    <row r="819" spans="7:8">
      <c r="G819" s="758"/>
      <c r="H819" s="8"/>
    </row>
    <row r="820" spans="7:8">
      <c r="G820" s="758"/>
      <c r="H820" s="8"/>
    </row>
    <row r="821" spans="7:8">
      <c r="G821" s="758"/>
      <c r="H821" s="8"/>
    </row>
    <row r="822" spans="7:8">
      <c r="G822" s="758"/>
      <c r="H822" s="8"/>
    </row>
    <row r="823" spans="7:8">
      <c r="G823" s="758"/>
      <c r="H823" s="8"/>
    </row>
    <row r="824" spans="7:8">
      <c r="G824" s="758"/>
      <c r="H824" s="8"/>
    </row>
    <row r="825" spans="7:8">
      <c r="G825" s="758"/>
      <c r="H825" s="8"/>
    </row>
    <row r="826" spans="7:8">
      <c r="G826" s="758"/>
      <c r="H826" s="8"/>
    </row>
    <row r="827" spans="7:8">
      <c r="G827" s="758"/>
      <c r="H827" s="8"/>
    </row>
    <row r="828" spans="7:8">
      <c r="G828" s="758"/>
      <c r="H828" s="8"/>
    </row>
    <row r="829" spans="7:8">
      <c r="G829" s="758"/>
      <c r="H829" s="8"/>
    </row>
    <row r="830" spans="7:8">
      <c r="G830" s="758"/>
      <c r="H830" s="8"/>
    </row>
    <row r="831" spans="7:8">
      <c r="G831" s="758"/>
      <c r="H831" s="8"/>
    </row>
    <row r="832" spans="7:8">
      <c r="G832" s="758"/>
      <c r="H832" s="8"/>
    </row>
    <row r="833" spans="7:8">
      <c r="G833" s="758"/>
      <c r="H833" s="8"/>
    </row>
    <row r="834" spans="7:8">
      <c r="G834" s="758"/>
      <c r="H834" s="8"/>
    </row>
    <row r="835" spans="7:8">
      <c r="G835" s="758"/>
      <c r="H835" s="8"/>
    </row>
    <row r="836" spans="7:8">
      <c r="G836" s="758"/>
      <c r="H836" s="8"/>
    </row>
    <row r="837" spans="7:8">
      <c r="G837" s="758"/>
      <c r="H837" s="8"/>
    </row>
    <row r="838" spans="7:8">
      <c r="G838" s="758"/>
      <c r="H838" s="8"/>
    </row>
    <row r="839" spans="7:8">
      <c r="G839" s="758"/>
      <c r="H839" s="8"/>
    </row>
    <row r="840" spans="7:8">
      <c r="G840" s="758"/>
      <c r="H840" s="8"/>
    </row>
    <row r="841" spans="7:8">
      <c r="G841" s="758"/>
      <c r="H841" s="8"/>
    </row>
    <row r="842" spans="7:8">
      <c r="G842" s="758"/>
      <c r="H842" s="8"/>
    </row>
    <row r="843" spans="7:8">
      <c r="G843" s="758"/>
      <c r="H843" s="8"/>
    </row>
    <row r="844" spans="7:8">
      <c r="G844" s="758"/>
      <c r="H844" s="8"/>
    </row>
    <row r="845" spans="7:8">
      <c r="G845" s="758"/>
      <c r="H845" s="8"/>
    </row>
    <row r="846" spans="7:8">
      <c r="G846" s="758"/>
      <c r="H846" s="8"/>
    </row>
    <row r="847" spans="7:8">
      <c r="G847" s="758"/>
      <c r="H847" s="8"/>
    </row>
    <row r="848" spans="7:8">
      <c r="G848" s="758"/>
      <c r="H848" s="8"/>
    </row>
    <row r="849" spans="7:8">
      <c r="G849" s="758"/>
      <c r="H849" s="8"/>
    </row>
    <row r="850" spans="7:8">
      <c r="G850" s="758"/>
      <c r="H850" s="8"/>
    </row>
    <row r="851" spans="7:8">
      <c r="G851" s="758"/>
      <c r="H851" s="8"/>
    </row>
    <row r="852" spans="7:8">
      <c r="G852" s="758"/>
      <c r="H852" s="8"/>
    </row>
    <row r="853" spans="7:8">
      <c r="G853" s="758"/>
      <c r="H853" s="8"/>
    </row>
    <row r="854" spans="7:8">
      <c r="G854" s="758"/>
      <c r="H854" s="8"/>
    </row>
    <row r="855" spans="7:8">
      <c r="G855" s="758"/>
      <c r="H855" s="8"/>
    </row>
    <row r="856" spans="7:8">
      <c r="G856" s="758"/>
      <c r="H856" s="8"/>
    </row>
    <row r="857" spans="7:8">
      <c r="G857" s="758"/>
      <c r="H857" s="8"/>
    </row>
    <row r="858" spans="7:8">
      <c r="G858" s="758"/>
      <c r="H858" s="8"/>
    </row>
    <row r="859" spans="7:8">
      <c r="G859" s="758"/>
      <c r="H859" s="8"/>
    </row>
    <row r="860" spans="7:8">
      <c r="G860" s="758"/>
      <c r="H860" s="8"/>
    </row>
    <row r="861" spans="7:8">
      <c r="G861" s="758"/>
      <c r="H861" s="8"/>
    </row>
    <row r="862" spans="7:8">
      <c r="G862" s="758"/>
      <c r="H862" s="8"/>
    </row>
    <row r="863" spans="7:8">
      <c r="G863" s="758"/>
      <c r="H863" s="8"/>
    </row>
    <row r="864" spans="7:8">
      <c r="G864" s="758"/>
      <c r="H864" s="8"/>
    </row>
    <row r="865" spans="7:8">
      <c r="G865" s="758"/>
      <c r="H865" s="8"/>
    </row>
    <row r="866" spans="7:8">
      <c r="G866" s="758"/>
      <c r="H866" s="8"/>
    </row>
    <row r="867" spans="7:8">
      <c r="G867" s="758"/>
      <c r="H867" s="8"/>
    </row>
    <row r="868" spans="7:8">
      <c r="G868" s="758"/>
      <c r="H868" s="8"/>
    </row>
    <row r="869" spans="7:8">
      <c r="G869" s="758"/>
      <c r="H869" s="8"/>
    </row>
    <row r="870" spans="7:8">
      <c r="G870" s="758"/>
      <c r="H870" s="8"/>
    </row>
    <row r="871" spans="7:8">
      <c r="G871" s="758"/>
      <c r="H871" s="8"/>
    </row>
    <row r="872" spans="7:8">
      <c r="G872" s="758"/>
      <c r="H872" s="8"/>
    </row>
    <row r="873" spans="7:8">
      <c r="G873" s="758"/>
      <c r="H873" s="8"/>
    </row>
    <row r="874" spans="7:8">
      <c r="G874" s="758"/>
      <c r="H874" s="8"/>
    </row>
    <row r="875" spans="7:8">
      <c r="G875" s="758"/>
      <c r="H875" s="8"/>
    </row>
    <row r="876" spans="7:8">
      <c r="G876" s="758"/>
      <c r="H876" s="8"/>
    </row>
    <row r="877" spans="7:8">
      <c r="G877" s="758"/>
      <c r="H877" s="8"/>
    </row>
    <row r="878" spans="7:8">
      <c r="G878" s="758"/>
      <c r="H878" s="8"/>
    </row>
    <row r="879" spans="7:8">
      <c r="G879" s="758"/>
      <c r="H879" s="8"/>
    </row>
    <row r="880" spans="7:8">
      <c r="G880" s="758"/>
      <c r="H880" s="8"/>
    </row>
    <row r="881" spans="7:8">
      <c r="G881" s="758"/>
      <c r="H881" s="8"/>
    </row>
    <row r="882" spans="7:8">
      <c r="G882" s="758"/>
      <c r="H882" s="8"/>
    </row>
    <row r="883" spans="7:8">
      <c r="G883" s="758"/>
      <c r="H883" s="8"/>
    </row>
    <row r="884" spans="7:8">
      <c r="G884" s="758"/>
      <c r="H884" s="8"/>
    </row>
    <row r="885" spans="7:8">
      <c r="G885" s="758"/>
      <c r="H885" s="8"/>
    </row>
    <row r="886" spans="7:8">
      <c r="G886" s="758"/>
      <c r="H886" s="8"/>
    </row>
    <row r="887" spans="7:8">
      <c r="G887" s="758"/>
      <c r="H887" s="8"/>
    </row>
    <row r="888" spans="7:8">
      <c r="G888" s="758"/>
      <c r="H888" s="8"/>
    </row>
    <row r="889" spans="7:8">
      <c r="G889" s="758"/>
      <c r="H889" s="8"/>
    </row>
    <row r="890" spans="7:8">
      <c r="G890" s="758"/>
      <c r="H890" s="8"/>
    </row>
    <row r="891" spans="7:8">
      <c r="G891" s="758"/>
      <c r="H891" s="8"/>
    </row>
    <row r="892" spans="7:8">
      <c r="G892" s="758"/>
      <c r="H892" s="8"/>
    </row>
    <row r="893" spans="7:8">
      <c r="G893" s="758"/>
      <c r="H893" s="8"/>
    </row>
    <row r="894" spans="7:8">
      <c r="G894" s="758"/>
      <c r="H894" s="8"/>
    </row>
    <row r="895" spans="7:8">
      <c r="G895" s="758"/>
      <c r="H895" s="8"/>
    </row>
    <row r="896" spans="7:8">
      <c r="G896" s="758"/>
      <c r="H896" s="8"/>
    </row>
    <row r="897" spans="7:8">
      <c r="G897" s="758"/>
      <c r="H897" s="8"/>
    </row>
    <row r="898" spans="7:8">
      <c r="G898" s="758"/>
      <c r="H898" s="8"/>
    </row>
    <row r="899" spans="7:8">
      <c r="G899" s="758"/>
      <c r="H899" s="8"/>
    </row>
    <row r="900" spans="7:8">
      <c r="G900" s="758"/>
      <c r="H900" s="8"/>
    </row>
    <row r="901" spans="7:8">
      <c r="G901" s="758"/>
      <c r="H901" s="8"/>
    </row>
    <row r="902" spans="7:8">
      <c r="G902" s="758"/>
      <c r="H902" s="8"/>
    </row>
    <row r="903" spans="7:8">
      <c r="G903" s="758"/>
      <c r="H903" s="8"/>
    </row>
    <row r="904" spans="7:8">
      <c r="G904" s="758"/>
      <c r="H904" s="8"/>
    </row>
    <row r="905" spans="7:8">
      <c r="G905" s="758"/>
      <c r="H905" s="8"/>
    </row>
    <row r="906" spans="7:8">
      <c r="G906" s="758"/>
      <c r="H906" s="8"/>
    </row>
    <row r="907" spans="7:8">
      <c r="G907" s="758"/>
      <c r="H907" s="8"/>
    </row>
    <row r="908" spans="7:8">
      <c r="G908" s="758"/>
      <c r="H908" s="8"/>
    </row>
    <row r="909" spans="7:8">
      <c r="G909" s="758"/>
      <c r="H909" s="8"/>
    </row>
    <row r="910" spans="7:8">
      <c r="G910" s="758"/>
      <c r="H910" s="8"/>
    </row>
    <row r="911" spans="7:8">
      <c r="G911" s="758"/>
      <c r="H911" s="8"/>
    </row>
    <row r="912" spans="7:8">
      <c r="G912" s="758"/>
      <c r="H912" s="8"/>
    </row>
    <row r="913" spans="7:8">
      <c r="G913" s="758"/>
      <c r="H913" s="8"/>
    </row>
    <row r="914" spans="7:8">
      <c r="G914" s="758"/>
      <c r="H914" s="8"/>
    </row>
    <row r="915" spans="7:8">
      <c r="G915" s="758"/>
      <c r="H915" s="8"/>
    </row>
    <row r="916" spans="7:8">
      <c r="G916" s="758"/>
      <c r="H916" s="8"/>
    </row>
    <row r="917" spans="7:8">
      <c r="G917" s="758"/>
      <c r="H917" s="8"/>
    </row>
    <row r="918" spans="7:8">
      <c r="G918" s="758"/>
      <c r="H918" s="8"/>
    </row>
    <row r="919" spans="7:8">
      <c r="G919" s="758"/>
      <c r="H919" s="8"/>
    </row>
    <row r="920" spans="7:8">
      <c r="G920" s="758"/>
      <c r="H920" s="8"/>
    </row>
    <row r="921" spans="7:8">
      <c r="G921" s="758"/>
      <c r="H921" s="8"/>
    </row>
    <row r="922" spans="7:8">
      <c r="G922" s="758"/>
      <c r="H922" s="8"/>
    </row>
    <row r="923" spans="7:8">
      <c r="G923" s="758"/>
      <c r="H923" s="8"/>
    </row>
    <row r="924" spans="7:8">
      <c r="G924" s="758"/>
      <c r="H924" s="8"/>
    </row>
    <row r="925" spans="7:8">
      <c r="G925" s="758"/>
      <c r="H925" s="8"/>
    </row>
    <row r="926" spans="7:8">
      <c r="G926" s="758"/>
      <c r="H926" s="8"/>
    </row>
    <row r="927" spans="7:8">
      <c r="G927" s="758"/>
      <c r="H927" s="8"/>
    </row>
    <row r="928" spans="7:8">
      <c r="G928" s="758"/>
      <c r="H928" s="8"/>
    </row>
    <row r="929" spans="7:8">
      <c r="G929" s="758"/>
      <c r="H929" s="8"/>
    </row>
    <row r="930" spans="7:8">
      <c r="G930" s="758"/>
      <c r="H930" s="8"/>
    </row>
    <row r="931" spans="7:8">
      <c r="G931" s="758"/>
      <c r="H931" s="8"/>
    </row>
    <row r="932" spans="7:8">
      <c r="G932" s="758"/>
      <c r="H932" s="8"/>
    </row>
    <row r="933" spans="7:8">
      <c r="G933" s="758"/>
      <c r="H933" s="8"/>
    </row>
    <row r="934" spans="7:8">
      <c r="G934" s="758"/>
      <c r="H934" s="8"/>
    </row>
    <row r="935" spans="7:8">
      <c r="G935" s="758"/>
      <c r="H935" s="8"/>
    </row>
    <row r="936" spans="7:8">
      <c r="G936" s="758"/>
      <c r="H936" s="8"/>
    </row>
    <row r="937" spans="7:8">
      <c r="G937" s="758"/>
      <c r="H937" s="8"/>
    </row>
    <row r="938" spans="7:8">
      <c r="G938" s="758"/>
      <c r="H938" s="8"/>
    </row>
    <row r="939" spans="7:8">
      <c r="G939" s="758"/>
      <c r="H939" s="8"/>
    </row>
    <row r="940" spans="7:8">
      <c r="G940" s="758"/>
      <c r="H940" s="8"/>
    </row>
    <row r="941" spans="7:8">
      <c r="G941" s="758"/>
      <c r="H941" s="8"/>
    </row>
    <row r="942" spans="7:8">
      <c r="G942" s="758"/>
      <c r="H942" s="8"/>
    </row>
    <row r="943" spans="7:8">
      <c r="G943" s="758"/>
      <c r="H943" s="8"/>
    </row>
    <row r="944" spans="7:8">
      <c r="G944" s="758"/>
      <c r="H944" s="8"/>
    </row>
    <row r="945" spans="7:8">
      <c r="G945" s="758"/>
      <c r="H945" s="8"/>
    </row>
    <row r="946" spans="7:8">
      <c r="G946" s="758"/>
      <c r="H946" s="8"/>
    </row>
    <row r="947" spans="7:8">
      <c r="G947" s="758"/>
      <c r="H947" s="8"/>
    </row>
    <row r="948" spans="7:8">
      <c r="G948" s="758"/>
      <c r="H948" s="8"/>
    </row>
    <row r="949" spans="7:8">
      <c r="G949" s="758"/>
      <c r="H949" s="8"/>
    </row>
    <row r="950" spans="7:8">
      <c r="G950" s="758"/>
      <c r="H950" s="8"/>
    </row>
    <row r="951" spans="7:8">
      <c r="G951" s="758"/>
      <c r="H951" s="8"/>
    </row>
    <row r="952" spans="7:8">
      <c r="G952" s="758"/>
      <c r="H952" s="8"/>
    </row>
    <row r="953" spans="7:8">
      <c r="G953" s="758"/>
      <c r="H953" s="8"/>
    </row>
    <row r="954" spans="7:8">
      <c r="G954" s="758"/>
      <c r="H954" s="8"/>
    </row>
    <row r="955" spans="7:8">
      <c r="G955" s="758"/>
      <c r="H955" s="8"/>
    </row>
    <row r="956" spans="7:8">
      <c r="G956" s="758"/>
      <c r="H956" s="8"/>
    </row>
    <row r="957" spans="7:8">
      <c r="G957" s="758"/>
      <c r="H957" s="8"/>
    </row>
    <row r="958" spans="7:8">
      <c r="G958" s="758"/>
      <c r="H958" s="8"/>
    </row>
    <row r="959" spans="7:8">
      <c r="G959" s="758"/>
      <c r="H959" s="8"/>
    </row>
    <row r="960" spans="7:8">
      <c r="G960" s="758"/>
      <c r="H960" s="8"/>
    </row>
    <row r="961" spans="7:8">
      <c r="G961" s="758"/>
      <c r="H961" s="8"/>
    </row>
    <row r="962" spans="7:8">
      <c r="G962" s="758"/>
      <c r="H962" s="8"/>
    </row>
    <row r="963" spans="7:8">
      <c r="G963" s="758"/>
      <c r="H963" s="8"/>
    </row>
    <row r="964" spans="7:8">
      <c r="G964" s="758"/>
      <c r="H964" s="8"/>
    </row>
    <row r="965" spans="7:8">
      <c r="G965" s="758"/>
      <c r="H965" s="8"/>
    </row>
    <row r="966" spans="7:8">
      <c r="G966" s="758"/>
      <c r="H966" s="8"/>
    </row>
    <row r="967" spans="7:8">
      <c r="G967" s="758"/>
      <c r="H967" s="8"/>
    </row>
    <row r="968" spans="7:8">
      <c r="G968" s="758"/>
      <c r="H968" s="8"/>
    </row>
    <row r="969" spans="7:8">
      <c r="G969" s="758"/>
      <c r="H969" s="8"/>
    </row>
    <row r="970" spans="7:8">
      <c r="G970" s="758"/>
      <c r="H970" s="8"/>
    </row>
    <row r="971" spans="7:8">
      <c r="G971" s="758"/>
      <c r="H971" s="8"/>
    </row>
    <row r="972" spans="7:8">
      <c r="G972" s="758"/>
      <c r="H972" s="8"/>
    </row>
    <row r="973" spans="7:8">
      <c r="G973" s="758"/>
      <c r="H973" s="8"/>
    </row>
    <row r="974" spans="7:8">
      <c r="G974" s="758"/>
      <c r="H974" s="8"/>
    </row>
    <row r="975" spans="7:8">
      <c r="G975" s="758"/>
      <c r="H975" s="8"/>
    </row>
    <row r="976" spans="7:8">
      <c r="G976" s="758"/>
      <c r="H976" s="8"/>
    </row>
    <row r="977" spans="7:8">
      <c r="G977" s="758"/>
      <c r="H977" s="8"/>
    </row>
    <row r="978" spans="7:8">
      <c r="G978" s="758"/>
      <c r="H978" s="8"/>
    </row>
    <row r="979" spans="7:8">
      <c r="G979" s="758"/>
      <c r="H979" s="8"/>
    </row>
    <row r="980" spans="7:8">
      <c r="G980" s="758"/>
      <c r="H980" s="8"/>
    </row>
    <row r="981" spans="7:8">
      <c r="G981" s="758"/>
      <c r="H981" s="8"/>
    </row>
    <row r="982" spans="7:8">
      <c r="G982" s="758"/>
      <c r="H982" s="8"/>
    </row>
    <row r="983" spans="7:8">
      <c r="G983" s="758"/>
      <c r="H983" s="8"/>
    </row>
    <row r="984" spans="7:8">
      <c r="G984" s="758"/>
      <c r="H984" s="8"/>
    </row>
    <row r="985" spans="7:8">
      <c r="G985" s="758"/>
      <c r="H985" s="8"/>
    </row>
    <row r="986" spans="7:8">
      <c r="G986" s="758"/>
      <c r="H986" s="8"/>
    </row>
    <row r="987" spans="7:8">
      <c r="G987" s="758"/>
      <c r="H987" s="8"/>
    </row>
    <row r="988" spans="7:8">
      <c r="G988" s="758"/>
      <c r="H988" s="8"/>
    </row>
    <row r="989" spans="7:8">
      <c r="G989" s="758"/>
      <c r="H989" s="8"/>
    </row>
    <row r="990" spans="7:8">
      <c r="G990" s="758"/>
      <c r="H990" s="8"/>
    </row>
    <row r="991" spans="7:8">
      <c r="G991" s="758"/>
      <c r="H991" s="8"/>
    </row>
    <row r="992" spans="7:8">
      <c r="G992" s="758"/>
      <c r="H992" s="8"/>
    </row>
    <row r="993" spans="7:8">
      <c r="G993" s="758"/>
      <c r="H993" s="8"/>
    </row>
    <row r="994" spans="7:8">
      <c r="G994" s="758"/>
      <c r="H994" s="8"/>
    </row>
    <row r="995" spans="7:8">
      <c r="G995" s="758"/>
      <c r="H995" s="8"/>
    </row>
    <row r="996" spans="7:8">
      <c r="G996" s="758"/>
      <c r="H996" s="8"/>
    </row>
    <row r="997" spans="7:8">
      <c r="G997" s="758"/>
      <c r="H997" s="8"/>
    </row>
    <row r="998" spans="7:8">
      <c r="G998" s="758"/>
      <c r="H998" s="8"/>
    </row>
    <row r="999" spans="7:8">
      <c r="G999" s="758"/>
      <c r="H999" s="8"/>
    </row>
    <row r="1000" spans="7:8">
      <c r="G1000" s="758"/>
      <c r="H1000" s="8"/>
    </row>
    <row r="1001" spans="7:8">
      <c r="G1001" s="758"/>
      <c r="H1001" s="8"/>
    </row>
    <row r="1002" spans="7:8">
      <c r="G1002" s="758"/>
      <c r="H1002" s="8"/>
    </row>
    <row r="1003" spans="7:8">
      <c r="G1003" s="758"/>
      <c r="H1003" s="8"/>
    </row>
    <row r="1004" spans="7:8">
      <c r="G1004" s="758"/>
      <c r="H1004" s="8"/>
    </row>
    <row r="1005" spans="7:8">
      <c r="G1005" s="758"/>
      <c r="H1005" s="8"/>
    </row>
    <row r="1006" spans="7:8">
      <c r="G1006" s="758"/>
      <c r="H1006" s="8"/>
    </row>
    <row r="1007" spans="7:8">
      <c r="G1007" s="758"/>
      <c r="H1007" s="8"/>
    </row>
    <row r="1008" spans="7:8">
      <c r="G1008" s="758"/>
      <c r="H1008" s="8"/>
    </row>
    <row r="1009" spans="7:8">
      <c r="G1009" s="758"/>
      <c r="H1009" s="8"/>
    </row>
    <row r="1010" spans="7:8">
      <c r="G1010" s="758"/>
      <c r="H1010" s="8"/>
    </row>
    <row r="1011" spans="7:8">
      <c r="G1011" s="758"/>
      <c r="H1011" s="8"/>
    </row>
    <row r="1012" spans="7:8">
      <c r="G1012" s="758"/>
      <c r="H1012" s="8"/>
    </row>
    <row r="1013" spans="7:8">
      <c r="G1013" s="758"/>
      <c r="H1013" s="8"/>
    </row>
    <row r="1014" spans="7:8">
      <c r="G1014" s="758"/>
      <c r="H1014" s="8"/>
    </row>
    <row r="1015" spans="7:8">
      <c r="G1015" s="758"/>
      <c r="H1015" s="8"/>
    </row>
    <row r="1016" spans="7:8">
      <c r="G1016" s="758"/>
      <c r="H1016" s="8"/>
    </row>
    <row r="1017" spans="7:8">
      <c r="G1017" s="758"/>
      <c r="H1017" s="8"/>
    </row>
    <row r="1018" spans="7:8">
      <c r="G1018" s="758"/>
      <c r="H1018" s="8"/>
    </row>
    <row r="1019" spans="7:8">
      <c r="G1019" s="758"/>
      <c r="H1019" s="8"/>
    </row>
    <row r="1020" spans="7:8">
      <c r="G1020" s="758"/>
      <c r="H1020" s="8"/>
    </row>
    <row r="1021" spans="7:8">
      <c r="G1021" s="758"/>
      <c r="H1021" s="8"/>
    </row>
    <row r="1022" spans="7:8">
      <c r="G1022" s="758"/>
      <c r="H1022" s="8"/>
    </row>
    <row r="1023" spans="7:8">
      <c r="G1023" s="758"/>
      <c r="H1023" s="8"/>
    </row>
    <row r="1024" spans="7:8">
      <c r="G1024" s="758"/>
      <c r="H1024" s="8"/>
    </row>
    <row r="1025" spans="7:8">
      <c r="G1025" s="758"/>
      <c r="H1025" s="8"/>
    </row>
    <row r="1026" spans="7:8">
      <c r="G1026" s="758"/>
      <c r="H1026" s="8"/>
    </row>
    <row r="1027" spans="7:8">
      <c r="G1027" s="758"/>
      <c r="H1027" s="8"/>
    </row>
    <row r="1028" spans="7:8">
      <c r="G1028" s="758"/>
      <c r="H1028" s="8"/>
    </row>
    <row r="1029" spans="7:8">
      <c r="G1029" s="758"/>
      <c r="H1029" s="8"/>
    </row>
    <row r="1030" spans="7:8">
      <c r="G1030" s="758"/>
      <c r="H1030" s="8"/>
    </row>
    <row r="1031" spans="7:8">
      <c r="G1031" s="758"/>
      <c r="H1031" s="8"/>
    </row>
    <row r="1032" spans="7:8">
      <c r="G1032" s="758"/>
      <c r="H1032" s="8"/>
    </row>
    <row r="1033" spans="7:8">
      <c r="G1033" s="758"/>
      <c r="H1033" s="8"/>
    </row>
    <row r="1034" spans="7:8">
      <c r="G1034" s="758"/>
      <c r="H1034" s="8"/>
    </row>
    <row r="1035" spans="7:8">
      <c r="G1035" s="758"/>
      <c r="H1035" s="8"/>
    </row>
    <row r="1036" spans="7:8">
      <c r="G1036" s="758"/>
      <c r="H1036" s="8"/>
    </row>
    <row r="1037" spans="7:8">
      <c r="G1037" s="758"/>
      <c r="H1037" s="8"/>
    </row>
    <row r="1038" spans="7:8">
      <c r="G1038" s="758"/>
      <c r="H1038" s="8"/>
    </row>
    <row r="1039" spans="7:8">
      <c r="G1039" s="758"/>
      <c r="H1039" s="8"/>
    </row>
    <row r="1040" spans="7:8">
      <c r="G1040" s="758"/>
      <c r="H1040" s="8"/>
    </row>
    <row r="1041" spans="7:8">
      <c r="G1041" s="758"/>
      <c r="H1041" s="8"/>
    </row>
    <row r="1042" spans="7:8">
      <c r="G1042" s="758"/>
      <c r="H1042" s="8"/>
    </row>
    <row r="1043" spans="7:8">
      <c r="G1043" s="758"/>
      <c r="H1043" s="8"/>
    </row>
    <row r="1044" spans="7:8">
      <c r="G1044" s="758"/>
      <c r="H1044" s="8"/>
    </row>
    <row r="1045" spans="7:8">
      <c r="G1045" s="758"/>
      <c r="H1045" s="8"/>
    </row>
    <row r="1046" spans="7:8">
      <c r="G1046" s="758"/>
      <c r="H1046" s="8"/>
    </row>
    <row r="1047" spans="7:8">
      <c r="G1047" s="758"/>
      <c r="H1047" s="8"/>
    </row>
    <row r="1048" spans="7:8">
      <c r="G1048" s="758"/>
      <c r="H1048" s="8"/>
    </row>
    <row r="1049" spans="7:8">
      <c r="G1049" s="758"/>
      <c r="H1049" s="8"/>
    </row>
    <row r="1050" spans="7:8">
      <c r="G1050" s="758"/>
      <c r="H1050" s="8"/>
    </row>
    <row r="1051" spans="7:8">
      <c r="G1051" s="758"/>
      <c r="H1051" s="8"/>
    </row>
    <row r="1052" spans="7:8">
      <c r="G1052" s="758"/>
      <c r="H1052" s="8"/>
    </row>
    <row r="1053" spans="7:8">
      <c r="G1053" s="758"/>
      <c r="H1053" s="8"/>
    </row>
    <row r="1054" spans="7:8">
      <c r="G1054" s="758"/>
      <c r="H1054" s="8"/>
    </row>
    <row r="1055" spans="7:8">
      <c r="G1055" s="758"/>
      <c r="H1055" s="8"/>
    </row>
    <row r="1056" spans="7:8">
      <c r="G1056" s="758"/>
      <c r="H1056" s="8"/>
    </row>
    <row r="1057" spans="7:8">
      <c r="G1057" s="758"/>
      <c r="H1057" s="8"/>
    </row>
    <row r="1058" spans="7:8">
      <c r="G1058" s="758"/>
      <c r="H1058" s="8"/>
    </row>
    <row r="1059" spans="7:8">
      <c r="G1059" s="758"/>
      <c r="H1059" s="8"/>
    </row>
    <row r="1060" spans="7:8">
      <c r="G1060" s="758"/>
      <c r="H1060" s="8"/>
    </row>
    <row r="1061" spans="7:8">
      <c r="G1061" s="758"/>
      <c r="H1061" s="8"/>
    </row>
    <row r="1062" spans="7:8">
      <c r="G1062" s="758"/>
      <c r="H1062" s="8"/>
    </row>
    <row r="1063" spans="7:8">
      <c r="G1063" s="758"/>
      <c r="H1063" s="8"/>
    </row>
    <row r="1064" spans="7:8">
      <c r="G1064" s="758"/>
      <c r="H1064" s="8"/>
    </row>
    <row r="1065" spans="7:8">
      <c r="G1065" s="758"/>
      <c r="H1065" s="8"/>
    </row>
    <row r="1066" spans="7:8">
      <c r="G1066" s="758"/>
      <c r="H1066" s="8"/>
    </row>
    <row r="1067" spans="7:8">
      <c r="G1067" s="758"/>
      <c r="H1067" s="8"/>
    </row>
    <row r="1068" spans="7:8">
      <c r="G1068" s="758"/>
      <c r="H1068" s="8"/>
    </row>
    <row r="1069" spans="7:8">
      <c r="G1069" s="758"/>
      <c r="H1069" s="8"/>
    </row>
    <row r="1070" spans="7:8">
      <c r="G1070" s="758"/>
      <c r="H1070" s="8"/>
    </row>
    <row r="1071" spans="7:8">
      <c r="G1071" s="758"/>
      <c r="H1071" s="8"/>
    </row>
    <row r="1072" spans="7:8">
      <c r="G1072" s="758"/>
      <c r="H1072" s="8"/>
    </row>
    <row r="1073" spans="7:8">
      <c r="G1073" s="758"/>
      <c r="H1073" s="8"/>
    </row>
    <row r="1074" spans="7:8">
      <c r="G1074" s="758"/>
      <c r="H1074" s="8"/>
    </row>
    <row r="1075" spans="7:8">
      <c r="G1075" s="758"/>
      <c r="H1075" s="8"/>
    </row>
    <row r="1076" spans="7:8">
      <c r="G1076" s="758"/>
      <c r="H1076" s="8"/>
    </row>
    <row r="1077" spans="7:8">
      <c r="G1077" s="758"/>
      <c r="H1077" s="8"/>
    </row>
    <row r="1078" spans="7:8">
      <c r="G1078" s="758"/>
      <c r="H1078" s="8"/>
    </row>
    <row r="1079" spans="7:8">
      <c r="G1079" s="758"/>
      <c r="H1079" s="8"/>
    </row>
    <row r="1080" spans="7:8">
      <c r="G1080" s="758"/>
      <c r="H1080" s="8"/>
    </row>
    <row r="1081" spans="7:8">
      <c r="G1081" s="758"/>
      <c r="H1081" s="8"/>
    </row>
    <row r="1082" spans="7:8">
      <c r="G1082" s="758"/>
      <c r="H1082" s="8"/>
    </row>
    <row r="1083" spans="7:8">
      <c r="G1083" s="758"/>
      <c r="H1083" s="8"/>
    </row>
    <row r="1084" spans="7:8">
      <c r="G1084" s="758"/>
      <c r="H1084" s="8"/>
    </row>
    <row r="1085" spans="7:8">
      <c r="G1085" s="758"/>
      <c r="H1085" s="8"/>
    </row>
    <row r="1086" spans="7:8">
      <c r="G1086" s="758"/>
      <c r="H1086" s="8"/>
    </row>
    <row r="1087" spans="7:8">
      <c r="G1087" s="758"/>
      <c r="H1087" s="8"/>
    </row>
  </sheetData>
  <customSheetViews>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1"/>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2"/>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3"/>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4"/>
      <headerFooter alignWithMargins="0">
        <oddHeader>&amp;R&amp;12Page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6"/>
      <headerFooter alignWithMargins="0">
        <oddHeader>&amp;R&amp;16Page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7"/>
      <headerFooter alignWithMargins="0">
        <oddHeader>&amp;R&amp;12Page &amp;P of &amp;N</oddHeader>
      </headerFooter>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8"/>
      <headerFooter alignWithMargins="0">
        <oddHeader>&amp;R&amp;12Page &amp;P of &amp;N</oddHeader>
      </headerFooter>
    </customSheetView>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9"/>
      <headerFooter alignWithMargins="0"/>
    </customSheetView>
  </customSheetViews>
  <mergeCells count="14">
    <mergeCell ref="C310:H310"/>
    <mergeCell ref="C314:H314"/>
    <mergeCell ref="C306:H306"/>
    <mergeCell ref="C319:H319"/>
    <mergeCell ref="C301:H301"/>
    <mergeCell ref="C307:H307"/>
    <mergeCell ref="C312:H312"/>
    <mergeCell ref="C316:H316"/>
    <mergeCell ref="C311:H311"/>
    <mergeCell ref="D2:F2"/>
    <mergeCell ref="D3:F3"/>
    <mergeCell ref="C298:H298"/>
    <mergeCell ref="C303:H303"/>
    <mergeCell ref="C304:H304"/>
  </mergeCells>
  <phoneticPr fontId="0" type="noConversion"/>
  <printOptions horizontalCentered="1"/>
  <pageMargins left="0.17" right="0.17" top="1.56" bottom="1.24" header="0.5" footer="0.17"/>
  <pageSetup scale="36"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pageSetUpPr fitToPage="1"/>
  </sheetPr>
  <dimension ref="A1:U32"/>
  <sheetViews>
    <sheetView zoomScale="80" zoomScaleNormal="80" workbookViewId="0">
      <selection activeCell="A14" sqref="A14"/>
    </sheetView>
  </sheetViews>
  <sheetFormatPr defaultRowHeight="12.75"/>
  <cols>
    <col min="1" max="1" width="17.7109375" customWidth="1"/>
    <col min="2" max="2" width="6.42578125" customWidth="1"/>
    <col min="3" max="3" width="79.42578125" customWidth="1"/>
    <col min="4" max="4" width="41.42578125" customWidth="1"/>
    <col min="5" max="5" width="17.7109375" customWidth="1"/>
    <col min="6" max="6" width="20.28515625" customWidth="1"/>
    <col min="7" max="7" width="19.7109375" customWidth="1"/>
    <col min="8" max="8" width="21.28515625" customWidth="1"/>
    <col min="9" max="9" width="20.7109375" customWidth="1"/>
    <col min="10" max="10" width="19" customWidth="1"/>
    <col min="11" max="11" width="20.42578125" customWidth="1"/>
    <col min="12" max="12" width="18.28515625" customWidth="1"/>
    <col min="13" max="13" width="21.7109375" customWidth="1"/>
    <col min="14" max="14" width="21.42578125" customWidth="1"/>
    <col min="15" max="15" width="22" customWidth="1"/>
    <col min="16" max="16" width="20.7109375" customWidth="1"/>
    <col min="17" max="17" width="21.42578125" customWidth="1"/>
    <col min="18" max="18" width="24.7109375" bestFit="1" customWidth="1"/>
    <col min="19" max="19" width="20.28515625" customWidth="1"/>
    <col min="20" max="20" width="18.42578125" customWidth="1"/>
    <col min="21" max="21" width="17.42578125" customWidth="1"/>
  </cols>
  <sheetData>
    <row r="1" spans="1:21" ht="20.25">
      <c r="F1" s="437" t="str">
        <f>+'Appendix A'!A3</f>
        <v>Dayton Power and Light</v>
      </c>
    </row>
    <row r="2" spans="1:21" ht="20.25">
      <c r="F2" s="437" t="str">
        <f>+'Appendix A'!A4</f>
        <v xml:space="preserve">ATTACHMENT H-15A </v>
      </c>
      <c r="S2" s="627"/>
    </row>
    <row r="3" spans="1:21" ht="20.25">
      <c r="C3" s="354"/>
      <c r="F3" s="438"/>
    </row>
    <row r="4" spans="1:21" ht="20.25">
      <c r="F4" s="437" t="s">
        <v>997</v>
      </c>
    </row>
    <row r="5" spans="1:21" ht="15">
      <c r="A5" s="45" t="s">
        <v>411</v>
      </c>
    </row>
    <row r="6" spans="1:21" ht="13.5" thickBot="1"/>
    <row r="7" spans="1:21" ht="16.5" thickBot="1">
      <c r="A7" s="78"/>
      <c r="B7" s="72"/>
      <c r="C7" s="71"/>
      <c r="D7" s="71"/>
      <c r="E7" s="79"/>
      <c r="F7" s="189" t="s">
        <v>490</v>
      </c>
      <c r="G7" s="926" t="s">
        <v>690</v>
      </c>
      <c r="H7" s="926"/>
      <c r="I7" s="926"/>
      <c r="J7" s="926"/>
      <c r="K7" s="926"/>
      <c r="L7" s="926"/>
      <c r="M7" s="926"/>
      <c r="N7" s="926"/>
      <c r="O7" s="926"/>
      <c r="P7" s="926"/>
      <c r="Q7" s="926"/>
      <c r="R7" s="927"/>
      <c r="S7" s="71"/>
      <c r="T7" s="928" t="s">
        <v>983</v>
      </c>
      <c r="U7" s="928"/>
    </row>
    <row r="8" spans="1:21" ht="32.25" thickBot="1">
      <c r="A8" s="118" t="s">
        <v>491</v>
      </c>
      <c r="B8" s="119" t="s">
        <v>492</v>
      </c>
      <c r="C8" s="119"/>
      <c r="D8" s="119"/>
      <c r="E8" s="767" t="s">
        <v>1029</v>
      </c>
      <c r="F8" s="498" t="s">
        <v>691</v>
      </c>
      <c r="G8" s="82" t="s">
        <v>496</v>
      </c>
      <c r="H8" s="82" t="s">
        <v>497</v>
      </c>
      <c r="I8" s="82" t="s">
        <v>498</v>
      </c>
      <c r="J8" s="82" t="s">
        <v>499</v>
      </c>
      <c r="K8" s="82" t="s">
        <v>374</v>
      </c>
      <c r="L8" s="82" t="s">
        <v>500</v>
      </c>
      <c r="M8" s="82" t="s">
        <v>501</v>
      </c>
      <c r="N8" s="82" t="s">
        <v>502</v>
      </c>
      <c r="O8" s="82" t="s">
        <v>503</v>
      </c>
      <c r="P8" s="82" t="s">
        <v>504</v>
      </c>
      <c r="Q8" s="82" t="s">
        <v>505</v>
      </c>
      <c r="R8" s="82" t="s">
        <v>692</v>
      </c>
      <c r="S8" s="660" t="s">
        <v>507</v>
      </c>
      <c r="T8" s="838" t="s">
        <v>1027</v>
      </c>
      <c r="U8" s="766" t="s">
        <v>981</v>
      </c>
    </row>
    <row r="9" spans="1:21" ht="15.75">
      <c r="A9" s="84"/>
      <c r="B9" s="85" t="s">
        <v>693</v>
      </c>
      <c r="C9" s="86"/>
      <c r="D9" s="86"/>
      <c r="E9" s="87"/>
      <c r="F9" s="184"/>
      <c r="G9" s="806"/>
      <c r="H9" s="806"/>
      <c r="I9" s="806"/>
      <c r="J9" s="806"/>
      <c r="K9" s="806"/>
      <c r="L9" s="806"/>
      <c r="M9" s="806"/>
      <c r="N9" s="806"/>
      <c r="O9" s="806"/>
      <c r="P9" s="806"/>
      <c r="Q9" s="806"/>
      <c r="R9" s="806"/>
      <c r="S9" s="184"/>
      <c r="U9" s="839"/>
    </row>
    <row r="10" spans="1:21" ht="15.75">
      <c r="A10" s="89">
        <v>1</v>
      </c>
      <c r="B10" s="73"/>
      <c r="C10" s="381" t="s">
        <v>967</v>
      </c>
      <c r="D10" s="71"/>
      <c r="E10" s="72" t="s">
        <v>694</v>
      </c>
      <c r="F10" s="681">
        <v>6893431.9500000002</v>
      </c>
      <c r="G10" s="681">
        <v>6893431.9500000002</v>
      </c>
      <c r="H10" s="681">
        <v>6893431.9500000002</v>
      </c>
      <c r="I10" s="681">
        <v>6893431.9500000002</v>
      </c>
      <c r="J10" s="681">
        <v>6893431.9500000002</v>
      </c>
      <c r="K10" s="681">
        <v>6893431.9500000002</v>
      </c>
      <c r="L10" s="681">
        <v>6893431.9500000002</v>
      </c>
      <c r="M10" s="681">
        <v>6893431.9500000002</v>
      </c>
      <c r="N10" s="681">
        <v>0</v>
      </c>
      <c r="O10" s="681">
        <v>0</v>
      </c>
      <c r="P10" s="681">
        <v>0</v>
      </c>
      <c r="Q10" s="681">
        <v>0</v>
      </c>
      <c r="R10" s="681">
        <v>0</v>
      </c>
      <c r="S10" s="379">
        <f t="shared" ref="S10:S25" si="0">AVERAGE(F10:R10)</f>
        <v>4242111.9692307701</v>
      </c>
      <c r="T10" s="59" t="s">
        <v>982</v>
      </c>
      <c r="U10" s="845">
        <v>45505</v>
      </c>
    </row>
    <row r="11" spans="1:21" ht="15.75">
      <c r="A11" s="89">
        <f t="shared" ref="A11:A24" si="1">+A10+1</f>
        <v>2</v>
      </c>
      <c r="B11" s="73"/>
      <c r="C11" s="381" t="s">
        <v>998</v>
      </c>
      <c r="D11" s="71"/>
      <c r="E11" s="72" t="s">
        <v>694</v>
      </c>
      <c r="F11" s="681">
        <v>0</v>
      </c>
      <c r="G11" s="681">
        <v>0</v>
      </c>
      <c r="H11" s="681">
        <v>0</v>
      </c>
      <c r="I11" s="681">
        <v>0</v>
      </c>
      <c r="J11" s="681">
        <v>0</v>
      </c>
      <c r="K11" s="681">
        <v>0</v>
      </c>
      <c r="L11" s="681">
        <v>0</v>
      </c>
      <c r="M11" s="681">
        <v>0</v>
      </c>
      <c r="N11" s="681">
        <v>0</v>
      </c>
      <c r="O11" s="681">
        <v>0</v>
      </c>
      <c r="P11" s="681">
        <v>0</v>
      </c>
      <c r="Q11" s="681">
        <v>0</v>
      </c>
      <c r="R11" s="681">
        <v>0</v>
      </c>
      <c r="S11" s="379">
        <f t="shared" si="0"/>
        <v>0</v>
      </c>
      <c r="T11" s="855" t="s">
        <v>1028</v>
      </c>
      <c r="U11" s="845">
        <v>46357</v>
      </c>
    </row>
    <row r="12" spans="1:21" ht="15.75">
      <c r="A12" s="89">
        <f t="shared" si="1"/>
        <v>3</v>
      </c>
      <c r="B12" s="73"/>
      <c r="C12" s="381" t="s">
        <v>999</v>
      </c>
      <c r="D12" s="71"/>
      <c r="E12" s="72" t="s">
        <v>694</v>
      </c>
      <c r="F12" s="681">
        <v>281492.67908999999</v>
      </c>
      <c r="G12" s="681">
        <v>512530.18212000001</v>
      </c>
      <c r="H12" s="681">
        <v>743567.68515000003</v>
      </c>
      <c r="I12" s="681">
        <v>974605.18818000006</v>
      </c>
      <c r="J12" s="681">
        <v>1205642.6912100001</v>
      </c>
      <c r="K12" s="681">
        <v>1436680.1942400001</v>
      </c>
      <c r="L12" s="681">
        <v>1667717.6972700001</v>
      </c>
      <c r="M12" s="681">
        <v>1898755.2003000001</v>
      </c>
      <c r="N12" s="681">
        <v>2129792.7033299999</v>
      </c>
      <c r="O12" s="681">
        <v>2360830.2063600002</v>
      </c>
      <c r="P12" s="681">
        <v>2591867.7093900004</v>
      </c>
      <c r="Q12" s="681">
        <v>2822905.2124200007</v>
      </c>
      <c r="R12" s="681">
        <v>3053942.71545</v>
      </c>
      <c r="S12" s="379">
        <f t="shared" si="0"/>
        <v>1667717.6972700001</v>
      </c>
      <c r="T12" s="59" t="s">
        <v>982</v>
      </c>
      <c r="U12" s="845">
        <v>45992</v>
      </c>
    </row>
    <row r="13" spans="1:21" ht="15.75">
      <c r="A13" s="89">
        <f t="shared" si="1"/>
        <v>4</v>
      </c>
      <c r="B13" s="73"/>
      <c r="C13" s="381" t="s">
        <v>1000</v>
      </c>
      <c r="D13" s="71"/>
      <c r="E13" s="72" t="s">
        <v>694</v>
      </c>
      <c r="F13" s="681">
        <v>317575.02</v>
      </c>
      <c r="G13" s="681">
        <v>609212.51697</v>
      </c>
      <c r="H13" s="681">
        <v>900850.01394000009</v>
      </c>
      <c r="I13" s="681">
        <v>1192487.5109100002</v>
      </c>
      <c r="J13" s="681">
        <v>1484125.0078800002</v>
      </c>
      <c r="K13" s="681">
        <v>1775762.5048500004</v>
      </c>
      <c r="L13" s="681">
        <v>2067400.0018200004</v>
      </c>
      <c r="M13" s="681">
        <v>2359037.4987900006</v>
      </c>
      <c r="N13" s="681">
        <v>2650674.9957600003</v>
      </c>
      <c r="O13" s="681">
        <v>2942312.4927300005</v>
      </c>
      <c r="P13" s="681">
        <v>3233949.9897000007</v>
      </c>
      <c r="Q13" s="681">
        <v>3525587.4866700005</v>
      </c>
      <c r="R13" s="681">
        <v>3817224.9836400007</v>
      </c>
      <c r="S13" s="379">
        <f t="shared" si="0"/>
        <v>2067400.0018200004</v>
      </c>
      <c r="T13" s="59" t="s">
        <v>982</v>
      </c>
      <c r="U13" s="845">
        <v>46357</v>
      </c>
    </row>
    <row r="14" spans="1:21" ht="15.75">
      <c r="A14" s="89">
        <f t="shared" si="1"/>
        <v>5</v>
      </c>
      <c r="B14" s="73"/>
      <c r="C14" s="381" t="s">
        <v>1026</v>
      </c>
      <c r="D14" s="71"/>
      <c r="E14" s="72" t="s">
        <v>694</v>
      </c>
      <c r="F14" s="681">
        <v>0</v>
      </c>
      <c r="G14" s="681">
        <v>181194.00000000003</v>
      </c>
      <c r="H14" s="681">
        <v>362388.00000000006</v>
      </c>
      <c r="I14" s="681">
        <v>543582.00000000012</v>
      </c>
      <c r="J14" s="681">
        <v>724776.00000000012</v>
      </c>
      <c r="K14" s="681">
        <v>905970.00000000012</v>
      </c>
      <c r="L14" s="681">
        <v>1087164.0000000002</v>
      </c>
      <c r="M14" s="681">
        <v>1268358.0000000002</v>
      </c>
      <c r="N14" s="681">
        <v>1449552.0000000002</v>
      </c>
      <c r="O14" s="681">
        <v>1630746.0000000002</v>
      </c>
      <c r="P14" s="681">
        <v>1811940.0000000002</v>
      </c>
      <c r="Q14" s="681">
        <v>1993134.0000000002</v>
      </c>
      <c r="R14" s="681">
        <v>2174328.0000000005</v>
      </c>
      <c r="S14" s="379">
        <f t="shared" si="0"/>
        <v>1087164.0000000002</v>
      </c>
      <c r="T14" s="59" t="s">
        <v>982</v>
      </c>
      <c r="U14" s="845">
        <v>46357</v>
      </c>
    </row>
    <row r="15" spans="1:21" ht="15.75">
      <c r="A15" s="89">
        <f t="shared" si="1"/>
        <v>6</v>
      </c>
      <c r="B15" s="73"/>
      <c r="C15" s="381" t="s">
        <v>1001</v>
      </c>
      <c r="D15" s="71"/>
      <c r="E15" s="72" t="s">
        <v>694</v>
      </c>
      <c r="F15" s="681">
        <v>19712.96</v>
      </c>
      <c r="G15" s="681">
        <v>35620.46</v>
      </c>
      <c r="H15" s="681">
        <v>51527.96</v>
      </c>
      <c r="I15" s="681">
        <v>67435.459999999992</v>
      </c>
      <c r="J15" s="681">
        <v>83342.959999999992</v>
      </c>
      <c r="K15" s="681">
        <v>99250.459999999992</v>
      </c>
      <c r="L15" s="681">
        <v>115157.95999999999</v>
      </c>
      <c r="M15" s="681">
        <v>131065.45999999999</v>
      </c>
      <c r="N15" s="681">
        <v>146972.96</v>
      </c>
      <c r="O15" s="681">
        <v>162880.46</v>
      </c>
      <c r="P15" s="681">
        <v>178787.96</v>
      </c>
      <c r="Q15" s="681">
        <v>194695.46</v>
      </c>
      <c r="R15" s="681">
        <v>0</v>
      </c>
      <c r="S15" s="379">
        <f t="shared" si="0"/>
        <v>98957.732307692291</v>
      </c>
      <c r="T15" s="59" t="s">
        <v>982</v>
      </c>
      <c r="U15" s="845">
        <v>45627</v>
      </c>
    </row>
    <row r="16" spans="1:21" ht="15.75">
      <c r="A16" s="89">
        <f t="shared" si="1"/>
        <v>7</v>
      </c>
      <c r="B16" s="73"/>
      <c r="C16" s="381" t="s">
        <v>1002</v>
      </c>
      <c r="D16" s="71"/>
      <c r="E16" s="72" t="s">
        <v>694</v>
      </c>
      <c r="F16" s="681">
        <v>13179082.812000001</v>
      </c>
      <c r="G16" s="681">
        <v>13547455.062000001</v>
      </c>
      <c r="H16" s="681">
        <v>13915827.312000001</v>
      </c>
      <c r="I16" s="681">
        <v>14284199.562000001</v>
      </c>
      <c r="J16" s="681">
        <v>14652571.812000001</v>
      </c>
      <c r="K16" s="681">
        <v>15020944.062000001</v>
      </c>
      <c r="L16" s="681">
        <v>15389316.311999999</v>
      </c>
      <c r="M16" s="681">
        <v>15757688.561999999</v>
      </c>
      <c r="N16" s="681">
        <v>16126060.811999999</v>
      </c>
      <c r="O16" s="681">
        <v>16494433.061999999</v>
      </c>
      <c r="P16" s="681">
        <v>16862805.311999999</v>
      </c>
      <c r="Q16" s="681">
        <v>17231177.561999999</v>
      </c>
      <c r="R16" s="681">
        <v>17599549.811999999</v>
      </c>
      <c r="S16" s="379">
        <f t="shared" si="0"/>
        <v>15389316.312000005</v>
      </c>
      <c r="T16" s="59" t="s">
        <v>982</v>
      </c>
      <c r="U16" s="845">
        <v>45992</v>
      </c>
    </row>
    <row r="17" spans="1:21" ht="15.75">
      <c r="A17" s="89">
        <f t="shared" si="1"/>
        <v>8</v>
      </c>
      <c r="B17" s="73"/>
      <c r="C17" s="381" t="s">
        <v>1003</v>
      </c>
      <c r="D17" s="71"/>
      <c r="E17" s="72" t="s">
        <v>694</v>
      </c>
      <c r="F17" s="681">
        <v>3482493.2700000005</v>
      </c>
      <c r="G17" s="681">
        <v>3943507.7730300007</v>
      </c>
      <c r="H17" s="681">
        <v>4404522.2760600001</v>
      </c>
      <c r="I17" s="681">
        <v>4865536.7790900003</v>
      </c>
      <c r="J17" s="681">
        <v>5326551.2821200006</v>
      </c>
      <c r="K17" s="681">
        <v>5787565.7851500008</v>
      </c>
      <c r="L17" s="681">
        <v>6248580.2881800011</v>
      </c>
      <c r="M17" s="681">
        <v>6709594.7912100004</v>
      </c>
      <c r="N17" s="681">
        <v>7170609.2942400007</v>
      </c>
      <c r="O17" s="681">
        <v>7631623.7972700009</v>
      </c>
      <c r="P17" s="681">
        <v>8092638.3003000002</v>
      </c>
      <c r="Q17" s="681">
        <v>8553652.8033300005</v>
      </c>
      <c r="R17" s="681">
        <v>9014667.3063600007</v>
      </c>
      <c r="S17" s="379">
        <f t="shared" si="0"/>
        <v>6248580.2881800001</v>
      </c>
      <c r="T17" s="59" t="s">
        <v>982</v>
      </c>
      <c r="U17" s="845">
        <v>45992</v>
      </c>
    </row>
    <row r="18" spans="1:21" ht="15.75">
      <c r="A18" s="89">
        <f t="shared" si="1"/>
        <v>9</v>
      </c>
      <c r="B18" s="73"/>
      <c r="C18" s="381" t="s">
        <v>1004</v>
      </c>
      <c r="D18" s="71"/>
      <c r="E18" s="72" t="s">
        <v>694</v>
      </c>
      <c r="F18" s="681">
        <v>1067241.7590900001</v>
      </c>
      <c r="G18" s="681">
        <v>1127235.7590900001</v>
      </c>
      <c r="H18" s="681">
        <v>1187229.7590900001</v>
      </c>
      <c r="I18" s="681">
        <v>1247223.7590900001</v>
      </c>
      <c r="J18" s="681">
        <v>1307217.7590900001</v>
      </c>
      <c r="K18" s="681">
        <v>1367211.7590900001</v>
      </c>
      <c r="L18" s="681">
        <v>1427205.7590900001</v>
      </c>
      <c r="M18" s="681">
        <v>1487199.7590900001</v>
      </c>
      <c r="N18" s="681">
        <v>1547193.7590900001</v>
      </c>
      <c r="O18" s="681">
        <v>1607187.7590900001</v>
      </c>
      <c r="P18" s="681">
        <v>1667181.7590900001</v>
      </c>
      <c r="Q18" s="681">
        <v>1727175.7590900001</v>
      </c>
      <c r="R18" s="681">
        <v>0</v>
      </c>
      <c r="S18" s="379">
        <f t="shared" si="0"/>
        <v>1289731.1622369234</v>
      </c>
      <c r="T18" s="59" t="s">
        <v>982</v>
      </c>
      <c r="U18" s="845">
        <v>45627</v>
      </c>
    </row>
    <row r="19" spans="1:21" ht="15.75">
      <c r="A19" s="89">
        <f t="shared" si="1"/>
        <v>10</v>
      </c>
      <c r="B19" s="73"/>
      <c r="C19" s="381" t="s">
        <v>1005</v>
      </c>
      <c r="D19" s="71"/>
      <c r="E19" s="72" t="s">
        <v>694</v>
      </c>
      <c r="F19" s="681">
        <f>+'[32]Trans Proj Sum NEW'!$CG$28+'[32]Trans Proj Sum NEW'!$CG$171</f>
        <v>1815385.29195</v>
      </c>
      <c r="G19" s="681">
        <f>+'[32]Trans Proj Sum NEW'!$CH$28+'[32]Trans Proj Sum NEW'!$CH$171</f>
        <v>1974081.54195</v>
      </c>
      <c r="H19" s="681">
        <f>+'[32]Trans Proj Sum NEW'!$CI$28+'[32]Trans Proj Sum NEW'!$CI$171</f>
        <v>2132777.79195</v>
      </c>
      <c r="I19" s="681">
        <f>+'[32]Trans Proj Sum NEW'!$CJ$28+'[32]Trans Proj Sum NEW'!$CK$171</f>
        <v>2359270.29195</v>
      </c>
      <c r="J19" s="681">
        <f>+'[32]Trans Proj Sum NEW'!$CK$28+'[32]Trans Proj Sum NEW'!$CK$171</f>
        <v>2450170.29195</v>
      </c>
      <c r="K19" s="681">
        <f>+'[32]Trans Proj Sum NEW'!$CL$28+'[32]Trans Proj Sum NEW'!$CL$171</f>
        <v>2608866.54195</v>
      </c>
      <c r="L19" s="681">
        <f>+'[32]Trans Proj Sum NEW'!$CM$28+'[32]Trans Proj Sum NEW'!$CM$171</f>
        <v>2767562.79195</v>
      </c>
      <c r="M19" s="681">
        <f>+'[32]Trans Proj Sum NEW'!$CN$28+'[32]Trans Proj Sum NEW'!$CN$171</f>
        <v>2926259.04195</v>
      </c>
      <c r="N19" s="681">
        <f>+'[32]Trans Proj Sum NEW'!$CO$28+'[32]Trans Proj Sum NEW'!$CO$171</f>
        <v>3084955.29195</v>
      </c>
      <c r="O19" s="681">
        <f>+'[32]Trans Proj Sum NEW'!$CP$28+'[32]Trans Proj Sum NEW'!$CP$171</f>
        <v>3243651.54195</v>
      </c>
      <c r="P19" s="681">
        <f>+'[32]Trans Proj Sum NEW'!$CQ$28+'[32]Trans Proj Sum NEW'!$CQ$171</f>
        <v>3402347.79195</v>
      </c>
      <c r="Q19" s="681">
        <f>+'[32]Trans Proj Sum NEW'!$CR$28+'[32]Trans Proj Sum NEW'!$CR$171</f>
        <v>3561044.04195</v>
      </c>
      <c r="R19" s="681">
        <v>0</v>
      </c>
      <c r="S19" s="379">
        <f t="shared" si="0"/>
        <v>2486644.0194923072</v>
      </c>
      <c r="T19" s="59" t="s">
        <v>982</v>
      </c>
      <c r="U19" s="845">
        <v>45627</v>
      </c>
    </row>
    <row r="20" spans="1:21" ht="15.75">
      <c r="A20" s="89">
        <f t="shared" si="1"/>
        <v>11</v>
      </c>
      <c r="B20" s="73"/>
      <c r="C20" s="381" t="s">
        <v>1006</v>
      </c>
      <c r="D20" s="71"/>
      <c r="E20" s="72" t="s">
        <v>694</v>
      </c>
      <c r="F20" s="681">
        <v>6049973.9140000008</v>
      </c>
      <c r="G20" s="681">
        <v>6304872.6670300011</v>
      </c>
      <c r="H20" s="681">
        <v>6559771.4200600004</v>
      </c>
      <c r="I20" s="681">
        <v>6814670.1730900006</v>
      </c>
      <c r="J20" s="681">
        <v>7069568.9261200009</v>
      </c>
      <c r="K20" s="681">
        <v>7324467.6791500002</v>
      </c>
      <c r="L20" s="681">
        <v>7579366.4321800005</v>
      </c>
      <c r="M20" s="681">
        <v>7834265.1852100007</v>
      </c>
      <c r="N20" s="681">
        <v>8089163.93824</v>
      </c>
      <c r="O20" s="681">
        <v>8344062.6912700003</v>
      </c>
      <c r="P20" s="681">
        <v>8598961.4442999996</v>
      </c>
      <c r="Q20" s="681">
        <v>8853860.1973299999</v>
      </c>
      <c r="R20" s="681">
        <v>0</v>
      </c>
      <c r="S20" s="379">
        <f t="shared" si="0"/>
        <v>6878692.6667676922</v>
      </c>
      <c r="T20" s="59" t="s">
        <v>982</v>
      </c>
      <c r="U20" s="845">
        <v>45627</v>
      </c>
    </row>
    <row r="21" spans="1:21" ht="15.75">
      <c r="A21" s="851">
        <f t="shared" si="1"/>
        <v>12</v>
      </c>
      <c r="B21" s="73"/>
      <c r="C21" s="381" t="s">
        <v>1007</v>
      </c>
      <c r="D21" s="71"/>
      <c r="E21" s="72" t="s">
        <v>694</v>
      </c>
      <c r="F21" s="681">
        <v>14862707.670000002</v>
      </c>
      <c r="G21" s="681">
        <v>15468707.673030002</v>
      </c>
      <c r="H21" s="681">
        <v>16074707.676060002</v>
      </c>
      <c r="I21" s="681">
        <v>16680707.679090001</v>
      </c>
      <c r="J21" s="681">
        <v>17286707.682120003</v>
      </c>
      <c r="K21" s="681">
        <v>17892707.685150001</v>
      </c>
      <c r="L21" s="681">
        <v>18498707.68818</v>
      </c>
      <c r="M21" s="681">
        <v>19104707.691210002</v>
      </c>
      <c r="N21" s="681">
        <v>19710707.69424</v>
      </c>
      <c r="O21" s="681">
        <v>20316707.697270002</v>
      </c>
      <c r="P21" s="681">
        <v>20922707.700300001</v>
      </c>
      <c r="Q21" s="681">
        <v>21528707.703330003</v>
      </c>
      <c r="R21" s="681">
        <v>0</v>
      </c>
      <c r="S21" s="379">
        <f t="shared" si="0"/>
        <v>16796037.86461385</v>
      </c>
      <c r="T21" s="59" t="s">
        <v>982</v>
      </c>
      <c r="U21" s="845">
        <v>45627</v>
      </c>
    </row>
    <row r="22" spans="1:21" ht="15.75">
      <c r="A22" s="89">
        <f t="shared" si="1"/>
        <v>13</v>
      </c>
      <c r="B22" s="73"/>
      <c r="C22" s="381" t="s">
        <v>1010</v>
      </c>
      <c r="D22" s="71"/>
      <c r="E22" s="72" t="s">
        <v>694</v>
      </c>
      <c r="F22" s="681">
        <v>21787223.335000001</v>
      </c>
      <c r="G22" s="681">
        <v>25243979.102125</v>
      </c>
      <c r="H22" s="681">
        <v>28700734.86925</v>
      </c>
      <c r="I22" s="681">
        <v>32157490.636375003</v>
      </c>
      <c r="J22" s="681">
        <v>35614246.403500006</v>
      </c>
      <c r="K22" s="681">
        <v>39071002.170625001</v>
      </c>
      <c r="L22" s="681">
        <v>42527757.937750004</v>
      </c>
      <c r="M22" s="681">
        <v>45984513.704875007</v>
      </c>
      <c r="N22" s="681">
        <v>0</v>
      </c>
      <c r="O22" s="681">
        <v>0</v>
      </c>
      <c r="P22" s="681">
        <v>0</v>
      </c>
      <c r="Q22" s="681">
        <v>0</v>
      </c>
      <c r="R22" s="681">
        <v>0</v>
      </c>
      <c r="S22" s="379">
        <f t="shared" si="0"/>
        <v>20852842.166115385</v>
      </c>
      <c r="T22" s="59" t="s">
        <v>982</v>
      </c>
      <c r="U22" s="845">
        <v>45505</v>
      </c>
    </row>
    <row r="23" spans="1:21" ht="15.75">
      <c r="A23" s="89">
        <f t="shared" si="1"/>
        <v>14</v>
      </c>
      <c r="B23" s="73"/>
      <c r="C23" s="381" t="s">
        <v>1008</v>
      </c>
      <c r="D23" s="71"/>
      <c r="E23" s="72" t="s">
        <v>694</v>
      </c>
      <c r="F23" s="681">
        <v>9156227.2689999994</v>
      </c>
      <c r="G23" s="681">
        <v>11837992.133874999</v>
      </c>
      <c r="H23" s="681">
        <v>14519756.998749999</v>
      </c>
      <c r="I23" s="681">
        <v>17201521.863624997</v>
      </c>
      <c r="J23" s="681">
        <v>19883286.728500001</v>
      </c>
      <c r="K23" s="681">
        <v>22565051.593374997</v>
      </c>
      <c r="L23" s="681">
        <v>25246816.458250001</v>
      </c>
      <c r="M23" s="681">
        <v>27928581.323124997</v>
      </c>
      <c r="N23" s="681">
        <v>0</v>
      </c>
      <c r="O23" s="681">
        <v>0</v>
      </c>
      <c r="P23" s="681">
        <v>0</v>
      </c>
      <c r="Q23" s="681">
        <v>0</v>
      </c>
      <c r="R23" s="681">
        <v>0</v>
      </c>
      <c r="S23" s="379">
        <f t="shared" si="0"/>
        <v>11410710.336038461</v>
      </c>
      <c r="T23" s="59" t="s">
        <v>982</v>
      </c>
      <c r="U23" s="845">
        <v>45505</v>
      </c>
    </row>
    <row r="24" spans="1:21" ht="15.75">
      <c r="A24" s="89">
        <f t="shared" si="1"/>
        <v>15</v>
      </c>
      <c r="B24" s="73"/>
      <c r="C24" s="381" t="s">
        <v>1009</v>
      </c>
      <c r="D24" s="71"/>
      <c r="E24" s="72" t="s">
        <v>694</v>
      </c>
      <c r="F24" s="681">
        <v>345661.59300000005</v>
      </c>
      <c r="G24" s="681">
        <v>642922.65937500005</v>
      </c>
      <c r="H24" s="681">
        <v>940183.72574999998</v>
      </c>
      <c r="I24" s="681">
        <v>1237444.7921250002</v>
      </c>
      <c r="J24" s="681">
        <v>1534705.8585000001</v>
      </c>
      <c r="K24" s="681">
        <v>1831966.924875</v>
      </c>
      <c r="L24" s="681">
        <v>2129227.99125</v>
      </c>
      <c r="M24" s="681">
        <v>2426489.0576249999</v>
      </c>
      <c r="N24" s="681">
        <v>0</v>
      </c>
      <c r="O24" s="681">
        <v>0</v>
      </c>
      <c r="P24" s="681">
        <v>0</v>
      </c>
      <c r="Q24" s="681">
        <v>0</v>
      </c>
      <c r="R24" s="681">
        <v>0</v>
      </c>
      <c r="S24" s="379">
        <f t="shared" si="0"/>
        <v>852969.43096153834</v>
      </c>
      <c r="T24" s="59" t="s">
        <v>982</v>
      </c>
      <c r="U24" s="845">
        <v>45505</v>
      </c>
    </row>
    <row r="25" spans="1:21" ht="15.75">
      <c r="A25" s="89">
        <f>+A24+1</f>
        <v>16</v>
      </c>
      <c r="B25" s="73"/>
      <c r="C25" s="381" t="s">
        <v>1011</v>
      </c>
      <c r="D25" s="71"/>
      <c r="E25" s="72" t="s">
        <v>694</v>
      </c>
      <c r="F25" s="681">
        <v>0</v>
      </c>
      <c r="G25" s="681">
        <v>0</v>
      </c>
      <c r="H25" s="681">
        <v>0</v>
      </c>
      <c r="I25" s="681">
        <v>0</v>
      </c>
      <c r="J25" s="681">
        <v>0</v>
      </c>
      <c r="K25" s="681">
        <v>0</v>
      </c>
      <c r="L25" s="681">
        <v>0</v>
      </c>
      <c r="M25" s="681">
        <v>0</v>
      </c>
      <c r="N25" s="681">
        <v>0</v>
      </c>
      <c r="O25" s="681">
        <v>0</v>
      </c>
      <c r="P25" s="681">
        <v>0</v>
      </c>
      <c r="Q25" s="681">
        <v>0</v>
      </c>
      <c r="R25" s="681">
        <v>0</v>
      </c>
      <c r="S25" s="379">
        <f t="shared" si="0"/>
        <v>0</v>
      </c>
      <c r="T25" s="59" t="s">
        <v>1032</v>
      </c>
      <c r="U25" s="845">
        <v>45200</v>
      </c>
    </row>
    <row r="26" spans="1:21" ht="15.75">
      <c r="A26" s="89"/>
      <c r="B26" s="73"/>
      <c r="C26" s="71"/>
      <c r="D26" s="71"/>
      <c r="E26" s="72"/>
      <c r="F26" s="674"/>
      <c r="G26" s="674"/>
      <c r="H26" s="674"/>
      <c r="I26" s="674"/>
      <c r="J26" s="674"/>
      <c r="K26" s="674"/>
      <c r="L26" s="674"/>
      <c r="M26" s="674"/>
      <c r="N26" s="674"/>
      <c r="O26" s="674"/>
      <c r="P26" s="674"/>
      <c r="Q26" s="674"/>
      <c r="R26" s="674"/>
      <c r="S26" s="379"/>
      <c r="T26" s="59"/>
      <c r="U26" s="840"/>
    </row>
    <row r="27" spans="1:21" ht="15.75">
      <c r="A27" s="89">
        <f>+A25+1</f>
        <v>17</v>
      </c>
      <c r="B27" s="73"/>
      <c r="C27" s="71" t="s">
        <v>67</v>
      </c>
      <c r="D27" s="71"/>
      <c r="E27" s="72"/>
      <c r="F27" s="379">
        <f>+SUM(F10:F25)</f>
        <v>79258209.52313</v>
      </c>
      <c r="G27" s="379">
        <f t="shared" ref="G27:R27" si="2">+SUM(G10:G25)</f>
        <v>88322743.480594993</v>
      </c>
      <c r="H27" s="379">
        <f t="shared" si="2"/>
        <v>97387277.438060001</v>
      </c>
      <c r="I27" s="379">
        <f t="shared" si="2"/>
        <v>106519607.64552499</v>
      </c>
      <c r="J27" s="379">
        <f t="shared" si="2"/>
        <v>115516345.35299</v>
      </c>
      <c r="K27" s="379">
        <f t="shared" si="2"/>
        <v>124580879.31045501</v>
      </c>
      <c r="L27" s="379">
        <f t="shared" si="2"/>
        <v>133645413.26792</v>
      </c>
      <c r="M27" s="379">
        <f t="shared" si="2"/>
        <v>142709947.22538501</v>
      </c>
      <c r="N27" s="379">
        <f t="shared" si="2"/>
        <v>62105683.448850006</v>
      </c>
      <c r="O27" s="379">
        <f t="shared" si="2"/>
        <v>64734435.707939997</v>
      </c>
      <c r="P27" s="379">
        <f t="shared" si="2"/>
        <v>67363187.967029989</v>
      </c>
      <c r="Q27" s="379">
        <f t="shared" si="2"/>
        <v>69991940.226119995</v>
      </c>
      <c r="R27" s="379">
        <f t="shared" si="2"/>
        <v>35659712.817450002</v>
      </c>
      <c r="S27" s="379">
        <f>+SUM(S10:S25)</f>
        <v>91368875.647034615</v>
      </c>
      <c r="T27" s="59"/>
      <c r="U27" s="840"/>
    </row>
    <row r="28" spans="1:21" ht="16.5" thickBot="1">
      <c r="A28" s="105"/>
      <c r="B28" s="95"/>
      <c r="C28" s="97"/>
      <c r="D28" s="97"/>
      <c r="E28" s="98"/>
      <c r="F28" s="380"/>
      <c r="G28" s="380"/>
      <c r="H28" s="380"/>
      <c r="I28" s="380"/>
      <c r="J28" s="380"/>
      <c r="K28" s="380"/>
      <c r="L28" s="380"/>
      <c r="M28" s="380"/>
      <c r="N28" s="380"/>
      <c r="O28" s="380"/>
      <c r="P28" s="380"/>
      <c r="Q28" s="380"/>
      <c r="R28" s="380"/>
      <c r="S28" s="380"/>
      <c r="T28" s="853"/>
      <c r="U28" s="854"/>
    </row>
    <row r="30" spans="1:21" ht="15">
      <c r="A30" s="45"/>
      <c r="B30" s="45"/>
      <c r="C30" s="45"/>
      <c r="S30" s="824"/>
    </row>
    <row r="31" spans="1:21" ht="15">
      <c r="A31" s="45"/>
      <c r="B31" s="45"/>
      <c r="C31" s="45"/>
    </row>
    <row r="32" spans="1:21" ht="15">
      <c r="A32" s="45"/>
    </row>
  </sheetData>
  <mergeCells count="2">
    <mergeCell ref="G7:R7"/>
    <mergeCell ref="T7:U7"/>
  </mergeCells>
  <phoneticPr fontId="33" type="noConversion"/>
  <pageMargins left="0.7" right="0.7" top="0.75" bottom="0.75" header="0.3" footer="0.3"/>
  <pageSetup scale="28" orientation="landscape" verticalDpi="0"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N74"/>
  <sheetViews>
    <sheetView showGridLines="0" topLeftCell="A28" zoomScale="75" zoomScaleNormal="75" workbookViewId="0">
      <selection activeCell="K38" sqref="K38:N40"/>
    </sheetView>
  </sheetViews>
  <sheetFormatPr defaultColWidth="9.28515625" defaultRowHeight="12.75"/>
  <cols>
    <col min="1" max="1" width="5.7109375" style="192" customWidth="1"/>
    <col min="2" max="2" width="13.28515625" style="69" customWidth="1"/>
    <col min="3" max="3" width="39.28515625" style="192" customWidth="1"/>
    <col min="4" max="4" width="16.7109375" style="192" customWidth="1"/>
    <col min="5" max="5" width="17.7109375" style="192" customWidth="1"/>
    <col min="6" max="6" width="15.140625" style="192" customWidth="1"/>
    <col min="7" max="7" width="34.42578125" style="192" customWidth="1"/>
    <col min="8" max="8" width="19.42578125" style="192" customWidth="1"/>
    <col min="9" max="9" width="14.28515625" style="192" bestFit="1" customWidth="1"/>
    <col min="10" max="10" width="15.42578125" style="192" customWidth="1"/>
    <col min="11" max="11" width="19.28515625" style="192" customWidth="1"/>
    <col min="12" max="12" width="14" style="192" bestFit="1" customWidth="1"/>
    <col min="13" max="13" width="10.28515625" style="192" customWidth="1"/>
    <col min="14" max="14" width="10.85546875" style="192" bestFit="1" customWidth="1"/>
    <col min="15" max="16384" width="9.28515625" style="192"/>
  </cols>
  <sheetData>
    <row r="2" spans="2:13" ht="18">
      <c r="B2" s="894" t="str">
        <f>+'Appendix A'!A3</f>
        <v>Dayton Power and Light</v>
      </c>
      <c r="C2" s="894"/>
      <c r="D2" s="894"/>
      <c r="E2" s="894"/>
      <c r="F2" s="894"/>
      <c r="G2" s="894"/>
      <c r="H2" s="894"/>
      <c r="I2" s="894"/>
      <c r="J2" s="894"/>
      <c r="K2" s="894"/>
      <c r="L2" s="894"/>
    </row>
    <row r="3" spans="2:13" ht="18">
      <c r="B3" s="894" t="str">
        <f>+'Appendix A'!A4</f>
        <v xml:space="preserve">ATTACHMENT H-15A </v>
      </c>
      <c r="C3" s="894"/>
      <c r="D3" s="894"/>
      <c r="E3" s="894"/>
      <c r="F3" s="894"/>
      <c r="G3" s="894"/>
      <c r="H3" s="894"/>
      <c r="I3" s="894"/>
      <c r="J3" s="894"/>
      <c r="K3" s="627"/>
      <c r="L3" s="178"/>
    </row>
    <row r="4" spans="2:13" ht="18">
      <c r="B4" s="894" t="s">
        <v>1012</v>
      </c>
      <c r="C4" s="894"/>
      <c r="D4" s="894"/>
      <c r="E4" s="894"/>
      <c r="F4" s="894"/>
      <c r="G4" s="894"/>
      <c r="H4" s="894"/>
      <c r="I4" s="894"/>
      <c r="J4" s="894"/>
      <c r="K4" s="894"/>
      <c r="L4" s="894"/>
    </row>
    <row r="5" spans="2:13" ht="15.75">
      <c r="B5" s="79"/>
      <c r="C5" s="79"/>
      <c r="D5" s="79"/>
      <c r="E5" s="79"/>
      <c r="F5" s="79"/>
      <c r="G5" s="79"/>
      <c r="H5" s="79"/>
      <c r="I5" s="79"/>
      <c r="J5" s="79"/>
      <c r="K5" s="79"/>
      <c r="L5" s="79"/>
    </row>
    <row r="6" spans="2:13" ht="15">
      <c r="B6" s="45" t="s">
        <v>411</v>
      </c>
      <c r="C6" s="71"/>
      <c r="D6" s="71"/>
      <c r="E6" s="71"/>
      <c r="F6" s="71"/>
      <c r="G6" s="71"/>
      <c r="H6" s="71"/>
      <c r="I6" s="71"/>
      <c r="J6" s="71"/>
      <c r="K6" s="71"/>
      <c r="L6" s="71"/>
      <c r="M6" s="71"/>
    </row>
    <row r="7" spans="2:13" ht="15">
      <c r="B7" s="90" t="s">
        <v>695</v>
      </c>
      <c r="C7" s="71"/>
      <c r="E7" s="71"/>
      <c r="F7" s="71"/>
      <c r="G7" s="71"/>
      <c r="H7" s="71"/>
      <c r="I7" s="71"/>
      <c r="J7" s="71"/>
      <c r="K7" s="71"/>
      <c r="L7" s="71"/>
      <c r="M7" s="71"/>
    </row>
    <row r="8" spans="2:13" ht="15">
      <c r="B8" s="72"/>
      <c r="C8" s="71"/>
      <c r="E8" s="71"/>
      <c r="F8" s="71"/>
      <c r="G8" s="71"/>
      <c r="H8" s="71"/>
      <c r="I8" s="71"/>
      <c r="J8" s="71"/>
      <c r="K8" s="71"/>
      <c r="L8" s="71"/>
    </row>
    <row r="9" spans="2:13" ht="15">
      <c r="B9" s="72" t="s">
        <v>344</v>
      </c>
      <c r="C9" s="71" t="s">
        <v>696</v>
      </c>
      <c r="E9" s="71"/>
      <c r="F9" s="71"/>
      <c r="G9" s="71"/>
      <c r="H9" s="71"/>
      <c r="I9" s="71"/>
      <c r="J9" s="71"/>
      <c r="K9" s="71"/>
      <c r="L9" s="71"/>
    </row>
    <row r="10" spans="2:13" ht="15">
      <c r="B10" s="72"/>
      <c r="C10" s="71" t="s">
        <v>697</v>
      </c>
      <c r="E10" s="71"/>
      <c r="F10" s="71"/>
      <c r="G10" s="71"/>
      <c r="H10" s="71"/>
      <c r="I10" s="71"/>
      <c r="J10" s="71"/>
      <c r="K10" s="71"/>
      <c r="L10" s="71"/>
    </row>
    <row r="11" spans="2:13" ht="15">
      <c r="B11" s="72"/>
      <c r="C11" s="71" t="s">
        <v>698</v>
      </c>
      <c r="E11" s="71"/>
      <c r="F11" s="71"/>
      <c r="G11" s="71"/>
      <c r="H11" s="316"/>
      <c r="J11" s="71"/>
      <c r="K11" s="71"/>
      <c r="L11" s="71"/>
    </row>
    <row r="12" spans="2:13" ht="15">
      <c r="B12" s="72"/>
      <c r="E12" s="71"/>
      <c r="F12" s="71"/>
      <c r="G12" s="71"/>
      <c r="H12" s="316"/>
      <c r="J12" s="71"/>
      <c r="K12" s="71"/>
      <c r="L12" s="71"/>
    </row>
    <row r="13" spans="2:13" ht="15">
      <c r="B13" s="72" t="s">
        <v>699</v>
      </c>
      <c r="C13" s="71" t="s">
        <v>700</v>
      </c>
      <c r="E13" s="71"/>
      <c r="F13" s="71"/>
      <c r="G13" s="71"/>
      <c r="H13" s="316"/>
      <c r="J13" s="71"/>
      <c r="K13" s="71"/>
      <c r="L13" s="71"/>
    </row>
    <row r="14" spans="2:13" ht="15">
      <c r="B14" s="72"/>
      <c r="C14" s="71" t="s">
        <v>701</v>
      </c>
      <c r="E14" s="71"/>
      <c r="F14" s="71"/>
      <c r="G14" s="71"/>
      <c r="H14" s="71"/>
      <c r="I14" s="71"/>
      <c r="J14" s="71"/>
      <c r="K14" s="71"/>
      <c r="L14" s="71"/>
    </row>
    <row r="15" spans="2:13" ht="15">
      <c r="B15" s="72"/>
      <c r="C15" s="71"/>
      <c r="E15" s="71"/>
      <c r="F15" s="71"/>
      <c r="G15" s="71"/>
      <c r="H15" s="71"/>
      <c r="I15" s="71"/>
      <c r="J15" s="71"/>
      <c r="K15" s="71"/>
      <c r="L15" s="71"/>
    </row>
    <row r="16" spans="2:13" ht="15">
      <c r="B16" s="72" t="s">
        <v>702</v>
      </c>
      <c r="C16" s="71" t="s">
        <v>703</v>
      </c>
      <c r="E16" s="71"/>
      <c r="F16" s="71"/>
      <c r="G16" s="71"/>
      <c r="H16" s="71"/>
      <c r="I16" s="71"/>
      <c r="J16" s="71"/>
      <c r="K16" s="71"/>
      <c r="L16" s="71"/>
    </row>
    <row r="17" spans="2:13" ht="15">
      <c r="B17" s="72"/>
      <c r="C17" s="71" t="s">
        <v>704</v>
      </c>
      <c r="E17" s="71"/>
      <c r="F17" s="71"/>
      <c r="G17" s="71"/>
      <c r="H17" s="71"/>
      <c r="I17" s="71"/>
      <c r="J17" s="71"/>
      <c r="K17" s="71"/>
      <c r="L17" s="71"/>
    </row>
    <row r="18" spans="2:13" ht="15">
      <c r="G18" s="71"/>
      <c r="H18" s="71"/>
      <c r="I18" s="71"/>
      <c r="J18" s="71"/>
      <c r="K18" s="71"/>
      <c r="L18" s="71"/>
    </row>
    <row r="19" spans="2:13" ht="15">
      <c r="B19" s="72" t="s">
        <v>705</v>
      </c>
      <c r="C19" s="71" t="s">
        <v>706</v>
      </c>
      <c r="D19" s="71"/>
      <c r="F19" s="71"/>
      <c r="G19" s="71"/>
      <c r="H19" s="71"/>
      <c r="I19" s="71"/>
      <c r="J19" s="71"/>
      <c r="L19" s="71"/>
    </row>
    <row r="20" spans="2:13" ht="15">
      <c r="D20" s="71"/>
      <c r="F20" s="71"/>
      <c r="G20" s="71"/>
      <c r="H20" s="71"/>
      <c r="I20" s="71"/>
      <c r="J20" s="71"/>
      <c r="K20" s="317"/>
      <c r="L20" s="71"/>
    </row>
    <row r="21" spans="2:13" ht="15">
      <c r="C21" s="71" t="s">
        <v>707</v>
      </c>
      <c r="D21" s="72" t="s">
        <v>708</v>
      </c>
      <c r="E21" s="71" t="s">
        <v>709</v>
      </c>
      <c r="F21" s="71"/>
      <c r="G21" s="71"/>
      <c r="H21" s="71"/>
      <c r="I21" s="71"/>
      <c r="J21" s="71"/>
      <c r="K21" s="71"/>
      <c r="L21" s="71"/>
    </row>
    <row r="22" spans="2:13" ht="15">
      <c r="E22" s="71" t="s">
        <v>710</v>
      </c>
      <c r="F22" s="71"/>
      <c r="G22" s="71"/>
      <c r="H22" s="71"/>
      <c r="I22" s="71"/>
      <c r="J22" s="71"/>
      <c r="K22" s="71"/>
      <c r="L22" s="71"/>
    </row>
    <row r="23" spans="2:13" ht="15">
      <c r="E23" s="71" t="s">
        <v>711</v>
      </c>
      <c r="F23" s="71"/>
      <c r="G23" s="71"/>
      <c r="H23" s="71"/>
      <c r="I23" s="71"/>
      <c r="J23" s="71"/>
      <c r="K23" s="318"/>
      <c r="L23" s="71"/>
    </row>
    <row r="24" spans="2:13" ht="15">
      <c r="E24" s="71"/>
      <c r="I24" s="71"/>
      <c r="J24" s="71"/>
      <c r="K24" s="71"/>
      <c r="L24" s="71"/>
    </row>
    <row r="25" spans="2:13" ht="15">
      <c r="C25" s="71"/>
      <c r="H25" s="71"/>
      <c r="I25" s="71"/>
      <c r="J25" s="71"/>
      <c r="K25" s="71"/>
      <c r="L25" s="71"/>
    </row>
    <row r="26" spans="2:13" ht="16.5">
      <c r="B26" s="319"/>
      <c r="C26" s="71" t="s">
        <v>712</v>
      </c>
      <c r="F26" s="71"/>
      <c r="G26" s="71"/>
      <c r="H26" s="71"/>
      <c r="I26" s="71"/>
    </row>
    <row r="27" spans="2:13" ht="16.5">
      <c r="B27" s="320"/>
      <c r="C27" s="71" t="s">
        <v>713</v>
      </c>
      <c r="F27" s="71"/>
      <c r="G27" s="71"/>
      <c r="I27" s="71"/>
    </row>
    <row r="28" spans="2:13" ht="15">
      <c r="B28" s="72"/>
      <c r="C28" s="71" t="s">
        <v>714</v>
      </c>
      <c r="F28" s="71"/>
      <c r="G28" s="71"/>
    </row>
    <row r="29" spans="2:13" ht="15">
      <c r="B29" s="72"/>
      <c r="C29" s="71" t="s">
        <v>715</v>
      </c>
      <c r="F29" s="71"/>
      <c r="G29" s="71"/>
      <c r="M29" s="70"/>
    </row>
    <row r="30" spans="2:13" ht="15">
      <c r="B30" s="72"/>
      <c r="C30" s="71" t="s">
        <v>716</v>
      </c>
    </row>
    <row r="31" spans="2:13" ht="15">
      <c r="B31" s="72"/>
      <c r="C31" s="71" t="s">
        <v>717</v>
      </c>
      <c r="H31" s="71"/>
    </row>
    <row r="32" spans="2:13" ht="15">
      <c r="B32" s="72"/>
    </row>
    <row r="33" spans="1:14" ht="15">
      <c r="H33" s="71"/>
      <c r="I33" s="71"/>
      <c r="J33" s="71"/>
      <c r="K33" s="71"/>
    </row>
    <row r="34" spans="1:14" ht="15">
      <c r="A34" s="540" t="s">
        <v>718</v>
      </c>
      <c r="C34" s="71"/>
      <c r="D34" s="72"/>
      <c r="E34" s="71"/>
      <c r="F34" s="71"/>
      <c r="G34" s="71"/>
      <c r="I34" s="72" t="s">
        <v>719</v>
      </c>
      <c r="J34" s="72" t="s">
        <v>720</v>
      </c>
    </row>
    <row r="35" spans="1:14" ht="15">
      <c r="C35" s="71"/>
      <c r="D35" s="72"/>
      <c r="E35" s="71"/>
      <c r="F35" s="71"/>
      <c r="G35" s="71"/>
      <c r="I35" s="384" t="s">
        <v>721</v>
      </c>
      <c r="J35" s="384" t="s">
        <v>721</v>
      </c>
      <c r="K35" s="440" t="s">
        <v>722</v>
      </c>
    </row>
    <row r="36" spans="1:14" ht="15">
      <c r="A36" s="69">
        <v>1</v>
      </c>
      <c r="B36" s="69" t="s">
        <v>207</v>
      </c>
      <c r="C36" s="71" t="s">
        <v>723</v>
      </c>
      <c r="D36" s="72"/>
      <c r="E36" s="71"/>
      <c r="F36" s="71"/>
      <c r="G36" s="71"/>
      <c r="I36" s="565">
        <v>58114353</v>
      </c>
      <c r="J36" s="35"/>
      <c r="K36" s="71"/>
      <c r="M36" s="195"/>
    </row>
    <row r="37" spans="1:14" ht="15">
      <c r="A37" s="69">
        <f>+A36+1</f>
        <v>2</v>
      </c>
      <c r="B37" s="69" t="s">
        <v>209</v>
      </c>
      <c r="C37" s="71" t="s">
        <v>724</v>
      </c>
      <c r="D37" s="72"/>
      <c r="E37" s="71"/>
      <c r="F37" s="71"/>
      <c r="G37" s="71"/>
      <c r="I37" s="611">
        <f>66223992-4541508</f>
        <v>61682484</v>
      </c>
      <c r="J37" s="439"/>
      <c r="K37" s="71"/>
      <c r="M37" s="70"/>
    </row>
    <row r="38" spans="1:14" ht="15">
      <c r="A38" s="69">
        <f t="shared" ref="A38:A40" si="0">+A37+1</f>
        <v>3</v>
      </c>
      <c r="B38" s="69" t="s">
        <v>211</v>
      </c>
      <c r="C38" s="71" t="s">
        <v>725</v>
      </c>
      <c r="D38" s="72"/>
      <c r="E38" s="71"/>
      <c r="F38" s="71"/>
      <c r="G38" s="71"/>
      <c r="I38" s="91">
        <f>I36-I37</f>
        <v>-3568131</v>
      </c>
      <c r="J38" s="91">
        <f>+I38</f>
        <v>-3568131</v>
      </c>
      <c r="K38" s="884">
        <v>2022</v>
      </c>
      <c r="L38" s="884">
        <v>2021</v>
      </c>
      <c r="M38" s="884">
        <v>2020</v>
      </c>
      <c r="N38" s="884" t="s">
        <v>67</v>
      </c>
    </row>
    <row r="39" spans="1:14" ht="15">
      <c r="A39" s="69">
        <f t="shared" si="0"/>
        <v>4</v>
      </c>
      <c r="B39" s="69" t="s">
        <v>213</v>
      </c>
      <c r="C39" s="71" t="s">
        <v>726</v>
      </c>
      <c r="D39" s="72"/>
      <c r="E39" s="71"/>
      <c r="F39" s="71"/>
      <c r="G39" s="71"/>
      <c r="I39" s="612">
        <f>(1+E74)^24</f>
        <v>1.1490060878886428</v>
      </c>
      <c r="J39" s="612">
        <f>(1+F74)^24</f>
        <v>1.149463125195868</v>
      </c>
      <c r="K39" s="71"/>
      <c r="L39" s="71"/>
      <c r="M39" s="71"/>
      <c r="N39" s="71"/>
    </row>
    <row r="40" spans="1:14" ht="15">
      <c r="A40" s="69">
        <f t="shared" si="0"/>
        <v>5</v>
      </c>
      <c r="B40" s="69" t="s">
        <v>215</v>
      </c>
      <c r="C40" s="71" t="s">
        <v>727</v>
      </c>
      <c r="D40" s="72"/>
      <c r="E40" s="71"/>
      <c r="F40" s="71"/>
      <c r="G40" s="71"/>
      <c r="I40" s="91">
        <f>+I38*I39</f>
        <v>-4099804.241384191</v>
      </c>
      <c r="J40" s="91">
        <f>+J38*J39</f>
        <v>-4101435.0103682578</v>
      </c>
      <c r="K40" s="5">
        <f>+J40-I40</f>
        <v>-1630.7689840667881</v>
      </c>
      <c r="L40" s="5">
        <v>-94266</v>
      </c>
      <c r="M40" s="5">
        <v>0</v>
      </c>
      <c r="N40" s="5">
        <f>+SUM(K40:M40)</f>
        <v>-95896.768984066788</v>
      </c>
    </row>
    <row r="41" spans="1:14" ht="15">
      <c r="A41" s="69">
        <f>+A40+1</f>
        <v>6</v>
      </c>
      <c r="B41" s="69" t="s">
        <v>217</v>
      </c>
      <c r="C41" s="71" t="s">
        <v>728</v>
      </c>
      <c r="D41" s="72"/>
      <c r="E41" s="71"/>
      <c r="F41" s="71"/>
      <c r="G41" s="71"/>
      <c r="H41" s="91"/>
      <c r="I41" s="91">
        <f>+I40+K40</f>
        <v>-4101435.0103682578</v>
      </c>
      <c r="J41" s="71"/>
      <c r="K41" s="71"/>
    </row>
    <row r="42" spans="1:14" ht="15">
      <c r="A42" s="69"/>
      <c r="C42" s="71"/>
      <c r="D42" s="72"/>
      <c r="E42" s="71"/>
      <c r="F42" s="71"/>
      <c r="G42" s="71"/>
      <c r="H42" s="71"/>
      <c r="J42" s="71"/>
      <c r="K42" s="71"/>
    </row>
    <row r="43" spans="1:14" ht="15">
      <c r="A43" s="69"/>
      <c r="C43" s="71" t="s">
        <v>729</v>
      </c>
      <c r="D43" s="71"/>
      <c r="E43" s="71"/>
      <c r="F43" s="71"/>
      <c r="G43" s="71"/>
      <c r="H43" s="20"/>
    </row>
    <row r="44" spans="1:14" ht="15">
      <c r="A44" s="69"/>
      <c r="C44" s="71" t="s">
        <v>730</v>
      </c>
      <c r="D44" s="71"/>
      <c r="E44" s="71"/>
      <c r="F44" s="71"/>
      <c r="G44" s="71"/>
      <c r="H44" s="193"/>
      <c r="I44" s="150"/>
      <c r="J44" s="321"/>
    </row>
    <row r="45" spans="1:14" ht="15">
      <c r="A45" s="69"/>
      <c r="C45" s="71"/>
      <c r="D45" s="71"/>
      <c r="E45" s="71"/>
      <c r="F45" s="71"/>
      <c r="G45" s="71"/>
      <c r="H45" s="147"/>
      <c r="I45" s="191"/>
      <c r="J45" s="191"/>
      <c r="K45" s="191"/>
    </row>
    <row r="46" spans="1:14" ht="15">
      <c r="A46" s="69"/>
      <c r="B46" s="90" t="s">
        <v>731</v>
      </c>
      <c r="C46" s="71"/>
      <c r="D46" s="71"/>
      <c r="E46" s="72" t="s">
        <v>719</v>
      </c>
      <c r="F46" s="72" t="s">
        <v>732</v>
      </c>
      <c r="G46" s="71"/>
      <c r="H46" s="147"/>
      <c r="I46" s="191"/>
      <c r="J46" s="191"/>
      <c r="K46" s="191"/>
    </row>
    <row r="47" spans="1:14" ht="20.25">
      <c r="A47" s="69"/>
      <c r="B47" s="192"/>
      <c r="C47" s="72"/>
      <c r="D47" s="71"/>
      <c r="E47" s="72" t="s">
        <v>733</v>
      </c>
      <c r="F47" s="72" t="s">
        <v>733</v>
      </c>
      <c r="H47" s="47"/>
      <c r="I47" s="147"/>
      <c r="J47" s="20"/>
      <c r="K47" s="322"/>
    </row>
    <row r="48" spans="1:14" ht="17.25">
      <c r="A48" s="69"/>
      <c r="B48" s="538" t="s">
        <v>416</v>
      </c>
      <c r="C48" s="384" t="s">
        <v>355</v>
      </c>
      <c r="D48" s="71"/>
      <c r="E48" s="384" t="s">
        <v>721</v>
      </c>
      <c r="F48" s="384" t="s">
        <v>721</v>
      </c>
      <c r="H48" s="152"/>
      <c r="I48" s="321"/>
      <c r="J48" s="324"/>
      <c r="K48" s="322"/>
    </row>
    <row r="49" spans="1:11" ht="15">
      <c r="A49" s="69">
        <f>+A41+1</f>
        <v>7</v>
      </c>
      <c r="B49" s="90" t="s">
        <v>376</v>
      </c>
      <c r="C49" s="72">
        <v>2022</v>
      </c>
      <c r="D49" s="71"/>
      <c r="E49" s="325">
        <v>3.0999999999999999E-3</v>
      </c>
      <c r="F49" s="325">
        <f>+E49</f>
        <v>3.0999999999999999E-3</v>
      </c>
      <c r="G49" s="90"/>
      <c r="H49" s="92"/>
      <c r="I49" s="340"/>
      <c r="J49" s="341"/>
      <c r="K49" s="322"/>
    </row>
    <row r="50" spans="1:11" ht="15">
      <c r="A50" s="69">
        <f>+A49+1</f>
        <v>8</v>
      </c>
      <c r="B50" s="90" t="s">
        <v>377</v>
      </c>
      <c r="C50" s="72">
        <v>2022</v>
      </c>
      <c r="D50" s="71"/>
      <c r="E50" s="325">
        <v>3.0999999999999999E-3</v>
      </c>
      <c r="F50" s="325">
        <f t="shared" ref="F50:F63" si="1">+E50</f>
        <v>3.0999999999999999E-3</v>
      </c>
      <c r="G50" s="323"/>
      <c r="H50" s="72"/>
      <c r="I50" s="71"/>
      <c r="J50" s="92"/>
      <c r="K50" s="322"/>
    </row>
    <row r="51" spans="1:11" ht="15">
      <c r="A51" s="69">
        <f t="shared" ref="A51:A72" si="2">+A50+1</f>
        <v>9</v>
      </c>
      <c r="B51" s="90" t="s">
        <v>378</v>
      </c>
      <c r="C51" s="72">
        <v>2022</v>
      </c>
      <c r="D51" s="71"/>
      <c r="E51" s="325">
        <v>3.0000000000000001E-3</v>
      </c>
      <c r="F51" s="325">
        <f t="shared" si="1"/>
        <v>3.0000000000000001E-3</v>
      </c>
      <c r="G51" s="71"/>
      <c r="H51" s="72"/>
      <c r="I51" s="71"/>
      <c r="J51" s="72"/>
      <c r="K51" s="322"/>
    </row>
    <row r="52" spans="1:11" ht="15">
      <c r="A52" s="69">
        <f t="shared" si="2"/>
        <v>10</v>
      </c>
      <c r="B52" s="90" t="s">
        <v>379</v>
      </c>
      <c r="C52" s="72">
        <v>2022</v>
      </c>
      <c r="D52" s="71"/>
      <c r="E52" s="325">
        <v>4.1999999999999997E-3</v>
      </c>
      <c r="F52" s="325">
        <f t="shared" si="1"/>
        <v>4.1999999999999997E-3</v>
      </c>
      <c r="G52" s="71"/>
      <c r="H52" s="72"/>
      <c r="I52" s="71"/>
      <c r="J52" s="72"/>
      <c r="K52" s="322"/>
    </row>
    <row r="53" spans="1:11" ht="15">
      <c r="A53" s="69">
        <f t="shared" si="2"/>
        <v>11</v>
      </c>
      <c r="B53" s="90" t="s">
        <v>380</v>
      </c>
      <c r="C53" s="72">
        <v>2022</v>
      </c>
      <c r="D53" s="71"/>
      <c r="E53" s="325">
        <v>4.0000000000000001E-3</v>
      </c>
      <c r="F53" s="325">
        <f t="shared" si="1"/>
        <v>4.0000000000000001E-3</v>
      </c>
      <c r="G53" s="71"/>
      <c r="H53" s="92"/>
      <c r="I53" s="71"/>
      <c r="J53" s="72"/>
      <c r="K53" s="322"/>
    </row>
    <row r="54" spans="1:11" ht="15">
      <c r="A54" s="69">
        <f t="shared" si="2"/>
        <v>12</v>
      </c>
      <c r="B54" s="90" t="s">
        <v>381</v>
      </c>
      <c r="C54" s="72">
        <v>2022</v>
      </c>
      <c r="D54" s="71"/>
      <c r="E54" s="325">
        <v>4.1999999999999997E-3</v>
      </c>
      <c r="F54" s="325">
        <f t="shared" si="1"/>
        <v>4.1999999999999997E-3</v>
      </c>
      <c r="G54" s="71"/>
      <c r="H54" s="72"/>
      <c r="I54" s="71"/>
      <c r="J54" s="72"/>
      <c r="K54" s="322"/>
    </row>
    <row r="55" spans="1:11" ht="15">
      <c r="A55" s="69">
        <f t="shared" si="2"/>
        <v>13</v>
      </c>
      <c r="B55" s="90" t="s">
        <v>370</v>
      </c>
      <c r="C55" s="72">
        <v>2023</v>
      </c>
      <c r="D55" s="71"/>
      <c r="E55" s="325">
        <v>5.4000000000000003E-3</v>
      </c>
      <c r="F55" s="325">
        <f t="shared" si="1"/>
        <v>5.4000000000000003E-3</v>
      </c>
      <c r="G55" s="71"/>
      <c r="H55" s="72"/>
      <c r="I55" s="71"/>
      <c r="J55" s="72"/>
      <c r="K55" s="322"/>
    </row>
    <row r="56" spans="1:11" ht="15">
      <c r="A56" s="69">
        <f t="shared" si="2"/>
        <v>14</v>
      </c>
      <c r="B56" s="90" t="s">
        <v>371</v>
      </c>
      <c r="C56" s="72">
        <v>2023</v>
      </c>
      <c r="D56" s="71"/>
      <c r="E56" s="325">
        <v>4.7999999999999996E-3</v>
      </c>
      <c r="F56" s="325">
        <f t="shared" si="1"/>
        <v>4.7999999999999996E-3</v>
      </c>
      <c r="G56" s="71"/>
      <c r="H56" s="72"/>
      <c r="I56" s="71"/>
      <c r="J56" s="72"/>
      <c r="K56" s="322"/>
    </row>
    <row r="57" spans="1:11" ht="15">
      <c r="A57" s="69">
        <f t="shared" si="2"/>
        <v>15</v>
      </c>
      <c r="B57" s="90" t="s">
        <v>372</v>
      </c>
      <c r="C57" s="72">
        <v>2023</v>
      </c>
      <c r="D57" s="71"/>
      <c r="E57" s="325">
        <v>5.4000000000000003E-3</v>
      </c>
      <c r="F57" s="325">
        <f t="shared" si="1"/>
        <v>5.4000000000000003E-3</v>
      </c>
      <c r="G57" s="71"/>
      <c r="H57" s="72"/>
      <c r="I57" s="71"/>
      <c r="J57" s="72"/>
      <c r="K57" s="322"/>
    </row>
    <row r="58" spans="1:11" ht="15">
      <c r="A58" s="69">
        <f t="shared" si="2"/>
        <v>16</v>
      </c>
      <c r="B58" s="90" t="s">
        <v>373</v>
      </c>
      <c r="C58" s="72">
        <v>2023</v>
      </c>
      <c r="D58" s="71"/>
      <c r="E58" s="325">
        <v>6.1999999999999998E-3</v>
      </c>
      <c r="F58" s="325">
        <f t="shared" si="1"/>
        <v>6.1999999999999998E-3</v>
      </c>
      <c r="G58" s="71"/>
      <c r="H58" s="72"/>
      <c r="I58" s="71"/>
      <c r="J58" s="72"/>
      <c r="K58" s="322"/>
    </row>
    <row r="59" spans="1:11" ht="15">
      <c r="A59" s="69">
        <f t="shared" si="2"/>
        <v>17</v>
      </c>
      <c r="B59" s="90" t="s">
        <v>374</v>
      </c>
      <c r="C59" s="72">
        <v>2023</v>
      </c>
      <c r="D59" s="71"/>
      <c r="E59" s="325">
        <v>6.4000000000000003E-3</v>
      </c>
      <c r="F59" s="325">
        <f t="shared" si="1"/>
        <v>6.4000000000000003E-3</v>
      </c>
      <c r="G59" s="71"/>
      <c r="H59" s="72"/>
      <c r="I59" s="71"/>
      <c r="J59" s="72"/>
      <c r="K59" s="322"/>
    </row>
    <row r="60" spans="1:11" ht="15">
      <c r="A60" s="69">
        <f t="shared" si="2"/>
        <v>18</v>
      </c>
      <c r="B60" s="90" t="s">
        <v>375</v>
      </c>
      <c r="C60" s="72">
        <v>2023</v>
      </c>
      <c r="D60" s="71"/>
      <c r="E60" s="325">
        <v>6.1999999999999998E-3</v>
      </c>
      <c r="F60" s="325">
        <f t="shared" si="1"/>
        <v>6.1999999999999998E-3</v>
      </c>
      <c r="G60" s="71"/>
      <c r="H60" s="72"/>
      <c r="I60" s="71"/>
      <c r="J60" s="72"/>
      <c r="K60" s="322"/>
    </row>
    <row r="61" spans="1:11" ht="15">
      <c r="A61" s="69">
        <f t="shared" si="2"/>
        <v>19</v>
      </c>
      <c r="B61" s="90" t="s">
        <v>376</v>
      </c>
      <c r="C61" s="72">
        <v>2023</v>
      </c>
      <c r="D61" s="71"/>
      <c r="E61" s="325">
        <v>6.7999999999999996E-3</v>
      </c>
      <c r="F61" s="325">
        <f t="shared" si="1"/>
        <v>6.7999999999999996E-3</v>
      </c>
      <c r="G61" s="71"/>
      <c r="H61" s="72"/>
      <c r="I61" s="71"/>
      <c r="J61" s="72"/>
      <c r="K61" s="322"/>
    </row>
    <row r="62" spans="1:11" ht="15">
      <c r="A62" s="69">
        <f t="shared" si="2"/>
        <v>20</v>
      </c>
      <c r="B62" s="90" t="s">
        <v>377</v>
      </c>
      <c r="C62" s="72">
        <v>2023</v>
      </c>
      <c r="D62" s="71"/>
      <c r="E62" s="325">
        <v>6.7999999999999996E-3</v>
      </c>
      <c r="F62" s="325">
        <f t="shared" si="1"/>
        <v>6.7999999999999996E-3</v>
      </c>
      <c r="G62" s="71"/>
      <c r="H62" s="72"/>
      <c r="I62" s="71"/>
      <c r="J62" s="72"/>
      <c r="K62" s="322"/>
    </row>
    <row r="63" spans="1:11" ht="15">
      <c r="A63" s="69">
        <f t="shared" si="2"/>
        <v>21</v>
      </c>
      <c r="B63" s="90" t="s">
        <v>378</v>
      </c>
      <c r="C63" s="72">
        <v>2023</v>
      </c>
      <c r="D63" s="71"/>
      <c r="E63" s="325">
        <v>6.6E-3</v>
      </c>
      <c r="F63" s="325">
        <f t="shared" si="1"/>
        <v>6.6E-3</v>
      </c>
      <c r="G63" s="71"/>
      <c r="H63" s="72"/>
      <c r="I63" s="71"/>
      <c r="J63" s="72"/>
      <c r="K63" s="322"/>
    </row>
    <row r="64" spans="1:11" ht="15">
      <c r="A64" s="69">
        <f t="shared" si="2"/>
        <v>22</v>
      </c>
      <c r="B64" s="90" t="s">
        <v>379</v>
      </c>
      <c r="C64" s="72">
        <v>2023</v>
      </c>
      <c r="D64" s="71"/>
      <c r="E64" s="325">
        <v>7.1000000000000004E-3</v>
      </c>
      <c r="F64" s="325">
        <v>7.1000000000000004E-3</v>
      </c>
      <c r="G64" s="71"/>
      <c r="H64" s="72"/>
      <c r="I64" s="71"/>
      <c r="J64" s="72"/>
      <c r="K64" s="322"/>
    </row>
    <row r="65" spans="1:11" ht="15">
      <c r="A65" s="69">
        <f t="shared" si="2"/>
        <v>23</v>
      </c>
      <c r="B65" s="90" t="s">
        <v>380</v>
      </c>
      <c r="C65" s="72">
        <v>2023</v>
      </c>
      <c r="D65" s="71"/>
      <c r="E65" s="325">
        <v>6.8999999999999999E-3</v>
      </c>
      <c r="F65" s="325">
        <v>6.8999999999999999E-3</v>
      </c>
      <c r="G65" s="71"/>
      <c r="H65" s="72"/>
      <c r="I65" s="71"/>
      <c r="J65" s="72"/>
      <c r="K65" s="322"/>
    </row>
    <row r="66" spans="1:11" ht="15">
      <c r="A66" s="69">
        <f t="shared" si="2"/>
        <v>24</v>
      </c>
      <c r="B66" s="90" t="s">
        <v>381</v>
      </c>
      <c r="C66" s="72">
        <v>2023</v>
      </c>
      <c r="D66" s="71"/>
      <c r="E66" s="325">
        <f>+E64</f>
        <v>7.1000000000000004E-3</v>
      </c>
      <c r="F66" s="325">
        <v>7.1000000000000004E-3</v>
      </c>
      <c r="G66" s="71"/>
      <c r="H66" s="72"/>
      <c r="I66" s="71"/>
      <c r="J66" s="72"/>
      <c r="K66" s="322"/>
    </row>
    <row r="67" spans="1:11" ht="15">
      <c r="A67" s="69">
        <f t="shared" si="2"/>
        <v>25</v>
      </c>
      <c r="B67" s="90" t="s">
        <v>370</v>
      </c>
      <c r="C67" s="72">
        <v>2024</v>
      </c>
      <c r="D67" s="71"/>
      <c r="E67" s="325">
        <f>+E66</f>
        <v>7.1000000000000004E-3</v>
      </c>
      <c r="F67" s="325">
        <v>7.1999999999999998E-3</v>
      </c>
      <c r="G67" s="71"/>
      <c r="H67" s="72"/>
      <c r="I67" s="71"/>
      <c r="J67" s="72"/>
      <c r="K67" s="322"/>
    </row>
    <row r="68" spans="1:11" ht="15">
      <c r="A68" s="69">
        <f t="shared" si="2"/>
        <v>26</v>
      </c>
      <c r="B68" s="90" t="s">
        <v>371</v>
      </c>
      <c r="C68" s="72">
        <v>2024</v>
      </c>
      <c r="D68" s="71"/>
      <c r="E68" s="325">
        <f>+E65</f>
        <v>6.8999999999999999E-3</v>
      </c>
      <c r="F68" s="325">
        <v>6.7999999999999996E-3</v>
      </c>
      <c r="G68" s="71"/>
      <c r="H68" s="72"/>
      <c r="I68" s="71"/>
      <c r="J68" s="72"/>
    </row>
    <row r="69" spans="1:11" ht="15">
      <c r="A69" s="69">
        <f t="shared" si="2"/>
        <v>27</v>
      </c>
      <c r="B69" s="90" t="s">
        <v>372</v>
      </c>
      <c r="C69" s="72">
        <v>2024</v>
      </c>
      <c r="D69" s="71"/>
      <c r="E69" s="325">
        <f>+E67</f>
        <v>7.1000000000000004E-3</v>
      </c>
      <c r="F69" s="325">
        <v>7.1999999999999998E-3</v>
      </c>
      <c r="G69" s="71"/>
      <c r="H69" s="72"/>
      <c r="I69" s="71"/>
      <c r="J69" s="72"/>
    </row>
    <row r="70" spans="1:11" ht="15">
      <c r="A70" s="69">
        <f t="shared" si="2"/>
        <v>28</v>
      </c>
      <c r="B70" s="90" t="s">
        <v>373</v>
      </c>
      <c r="C70" s="72">
        <v>2024</v>
      </c>
      <c r="D70" s="71"/>
      <c r="E70" s="325">
        <f>+E65</f>
        <v>6.8999999999999999E-3</v>
      </c>
      <c r="F70" s="325">
        <v>7.0000000000000001E-3</v>
      </c>
      <c r="G70" s="71"/>
      <c r="H70" s="72"/>
      <c r="I70" s="71"/>
      <c r="J70" s="72"/>
    </row>
    <row r="71" spans="1:11" ht="15">
      <c r="A71" s="69">
        <f t="shared" si="2"/>
        <v>29</v>
      </c>
      <c r="B71" s="90" t="s">
        <v>374</v>
      </c>
      <c r="C71" s="72">
        <v>2024</v>
      </c>
      <c r="D71" s="71"/>
      <c r="E71" s="325">
        <f>+E69</f>
        <v>7.1000000000000004E-3</v>
      </c>
      <c r="F71" s="325">
        <v>7.1999999999999998E-3</v>
      </c>
      <c r="G71" s="71"/>
      <c r="H71" s="72"/>
      <c r="I71" s="71"/>
      <c r="J71" s="72"/>
    </row>
    <row r="72" spans="1:11" ht="15">
      <c r="A72" s="69">
        <f t="shared" si="2"/>
        <v>30</v>
      </c>
      <c r="B72" s="90" t="s">
        <v>375</v>
      </c>
      <c r="C72" s="72">
        <v>2024</v>
      </c>
      <c r="D72" s="71"/>
      <c r="E72" s="325">
        <f>+E70</f>
        <v>6.8999999999999999E-3</v>
      </c>
      <c r="F72" s="325">
        <v>7.0000000000000001E-3</v>
      </c>
      <c r="G72" s="71"/>
      <c r="H72" s="71"/>
      <c r="I72" s="71"/>
      <c r="J72" s="326"/>
    </row>
    <row r="73" spans="1:11">
      <c r="A73" s="69"/>
      <c r="B73" s="539"/>
    </row>
    <row r="74" spans="1:11" ht="15">
      <c r="A74" s="69">
        <f>+A72+1</f>
        <v>31</v>
      </c>
      <c r="B74" s="90" t="s">
        <v>507</v>
      </c>
      <c r="E74" s="383">
        <f>+SUM(E49:E72)/24</f>
        <v>5.8041666666666649E-3</v>
      </c>
      <c r="F74" s="383">
        <f>+SUM(F49:F72)/24</f>
        <v>5.8208333333333332E-3</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33"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pageSetUpPr fitToPage="1"/>
  </sheetPr>
  <dimension ref="A2:N74"/>
  <sheetViews>
    <sheetView showGridLines="0" tabSelected="1" topLeftCell="A27" zoomScale="75" zoomScaleNormal="75" workbookViewId="0">
      <selection activeCell="N40" sqref="N40"/>
    </sheetView>
  </sheetViews>
  <sheetFormatPr defaultColWidth="9.28515625" defaultRowHeight="12.75"/>
  <cols>
    <col min="1" max="1" width="5.140625" style="192" customWidth="1"/>
    <col min="2" max="2" width="14.140625" style="69" customWidth="1"/>
    <col min="3" max="3" width="45.85546875" style="192" customWidth="1"/>
    <col min="4" max="4" width="16.7109375" style="192" customWidth="1"/>
    <col min="5" max="5" width="17.7109375" style="192" customWidth="1"/>
    <col min="6" max="6" width="15.140625" style="192" customWidth="1"/>
    <col min="7" max="7" width="34.42578125" style="192" customWidth="1"/>
    <col min="8" max="8" width="19.42578125" style="192" customWidth="1"/>
    <col min="9" max="9" width="14.28515625" style="192" bestFit="1" customWidth="1"/>
    <col min="10" max="10" width="15.42578125" style="192" customWidth="1"/>
    <col min="11" max="11" width="19.28515625" style="192" customWidth="1"/>
    <col min="12" max="12" width="9.28515625" style="192"/>
    <col min="13" max="13" width="10.28515625" style="192" customWidth="1"/>
    <col min="14" max="16384" width="9.28515625" style="192"/>
  </cols>
  <sheetData>
    <row r="2" spans="2:13" ht="18">
      <c r="B2" s="894" t="str">
        <f>+'Appendix A'!A3</f>
        <v>Dayton Power and Light</v>
      </c>
      <c r="C2" s="894"/>
      <c r="D2" s="894"/>
      <c r="E2" s="894"/>
      <c r="F2" s="894"/>
      <c r="G2" s="894"/>
      <c r="H2" s="894"/>
      <c r="I2" s="894"/>
      <c r="J2" s="894"/>
      <c r="K2" s="894"/>
      <c r="L2" s="894"/>
    </row>
    <row r="3" spans="2:13" ht="18">
      <c r="B3" s="894" t="str">
        <f>+'Appendix A'!A4</f>
        <v xml:space="preserve">ATTACHMENT H-15A </v>
      </c>
      <c r="C3" s="894"/>
      <c r="D3" s="894"/>
      <c r="E3" s="894"/>
      <c r="F3" s="894"/>
      <c r="G3" s="894"/>
      <c r="H3" s="894"/>
      <c r="I3" s="894"/>
      <c r="J3" s="894"/>
      <c r="K3" s="627"/>
      <c r="L3" s="178"/>
    </row>
    <row r="4" spans="2:13" ht="18">
      <c r="B4" s="894" t="s">
        <v>1013</v>
      </c>
      <c r="C4" s="894"/>
      <c r="D4" s="894"/>
      <c r="E4" s="894"/>
      <c r="F4" s="894"/>
      <c r="G4" s="894"/>
      <c r="H4" s="894"/>
      <c r="I4" s="894"/>
      <c r="J4" s="894"/>
      <c r="K4" s="894"/>
      <c r="L4" s="894"/>
    </row>
    <row r="5" spans="2:13" ht="15.75">
      <c r="B5" s="79"/>
      <c r="C5" s="79"/>
      <c r="D5" s="79"/>
      <c r="E5" s="79"/>
      <c r="F5" s="79"/>
      <c r="G5" s="79"/>
      <c r="H5" s="79"/>
      <c r="I5" s="79"/>
      <c r="J5" s="79"/>
      <c r="K5" s="79"/>
      <c r="L5" s="79"/>
    </row>
    <row r="6" spans="2:13" ht="15">
      <c r="B6" s="45" t="s">
        <v>411</v>
      </c>
      <c r="C6" s="71"/>
      <c r="D6" s="71"/>
      <c r="E6" s="71"/>
      <c r="F6" s="71"/>
      <c r="G6" s="71"/>
      <c r="H6" s="71"/>
      <c r="I6" s="71"/>
      <c r="J6" s="71"/>
      <c r="K6" s="71"/>
      <c r="L6" s="71"/>
      <c r="M6" s="71"/>
    </row>
    <row r="7" spans="2:13" ht="15">
      <c r="B7" s="90" t="s">
        <v>734</v>
      </c>
      <c r="C7" s="71"/>
      <c r="E7" s="71"/>
      <c r="F7" s="71"/>
      <c r="G7" s="71"/>
      <c r="H7" s="71"/>
      <c r="I7" s="71"/>
      <c r="J7" s="71"/>
      <c r="K7" s="71"/>
      <c r="L7" s="71"/>
      <c r="M7" s="71"/>
    </row>
    <row r="8" spans="2:13" ht="15">
      <c r="B8" s="72"/>
      <c r="C8" s="71"/>
      <c r="E8" s="71"/>
      <c r="F8" s="71"/>
      <c r="G8" s="71"/>
      <c r="H8" s="71"/>
      <c r="I8" s="71"/>
      <c r="J8" s="71"/>
      <c r="K8" s="71"/>
      <c r="L8" s="71"/>
    </row>
    <row r="9" spans="2:13" ht="15">
      <c r="B9" s="72" t="s">
        <v>344</v>
      </c>
      <c r="C9" s="71" t="s">
        <v>696</v>
      </c>
      <c r="E9" s="71"/>
      <c r="F9" s="71"/>
      <c r="G9" s="71"/>
      <c r="H9" s="71"/>
      <c r="I9" s="71"/>
      <c r="J9" s="71"/>
      <c r="K9" s="71"/>
      <c r="L9" s="71"/>
    </row>
    <row r="10" spans="2:13" ht="15">
      <c r="B10" s="72"/>
      <c r="C10" s="71" t="s">
        <v>697</v>
      </c>
      <c r="E10" s="71"/>
      <c r="F10" s="71"/>
      <c r="G10" s="71"/>
      <c r="H10" s="71"/>
      <c r="I10" s="71"/>
      <c r="J10" s="71"/>
      <c r="K10" s="71"/>
      <c r="L10" s="71"/>
    </row>
    <row r="11" spans="2:13" ht="15">
      <c r="B11" s="72"/>
      <c r="C11" s="71" t="s">
        <v>698</v>
      </c>
      <c r="E11" s="71"/>
      <c r="F11" s="71"/>
      <c r="G11" s="71"/>
      <c r="H11" s="316"/>
      <c r="J11" s="71"/>
      <c r="K11" s="71"/>
      <c r="L11" s="71"/>
    </row>
    <row r="12" spans="2:13" ht="15">
      <c r="B12" s="72"/>
      <c r="E12" s="71"/>
      <c r="F12" s="71"/>
      <c r="G12" s="71"/>
      <c r="H12" s="316"/>
      <c r="J12" s="71"/>
      <c r="K12" s="71"/>
      <c r="L12" s="71"/>
    </row>
    <row r="13" spans="2:13" ht="15">
      <c r="B13" s="72" t="s">
        <v>699</v>
      </c>
      <c r="C13" s="71" t="s">
        <v>700</v>
      </c>
      <c r="E13" s="71"/>
      <c r="F13" s="71"/>
      <c r="G13" s="71"/>
      <c r="H13" s="316"/>
      <c r="J13" s="71"/>
      <c r="K13" s="71"/>
      <c r="L13" s="71"/>
    </row>
    <row r="14" spans="2:13" ht="15">
      <c r="B14" s="72"/>
      <c r="C14" s="71" t="s">
        <v>701</v>
      </c>
      <c r="E14" s="71"/>
      <c r="F14" s="71"/>
      <c r="G14" s="71"/>
      <c r="H14" s="71"/>
      <c r="I14" s="71"/>
      <c r="J14" s="71"/>
      <c r="K14" s="71"/>
      <c r="L14" s="71"/>
    </row>
    <row r="15" spans="2:13" ht="15">
      <c r="B15" s="72"/>
      <c r="C15" s="71"/>
      <c r="E15" s="71"/>
      <c r="F15" s="71"/>
      <c r="G15" s="71"/>
      <c r="H15" s="71"/>
      <c r="I15" s="71"/>
      <c r="J15" s="71"/>
      <c r="K15" s="71"/>
      <c r="L15" s="71"/>
    </row>
    <row r="16" spans="2:13" ht="15">
      <c r="B16" s="72" t="s">
        <v>702</v>
      </c>
      <c r="C16" s="71" t="s">
        <v>703</v>
      </c>
      <c r="E16" s="71"/>
      <c r="F16" s="71"/>
      <c r="G16" s="71"/>
      <c r="H16" s="71"/>
      <c r="I16" s="71"/>
      <c r="J16" s="71"/>
      <c r="K16" s="71"/>
      <c r="L16" s="71"/>
    </row>
    <row r="17" spans="2:13" ht="15">
      <c r="B17" s="72"/>
      <c r="C17" s="71" t="s">
        <v>704</v>
      </c>
      <c r="E17" s="71"/>
      <c r="F17" s="71"/>
      <c r="G17" s="71"/>
      <c r="H17" s="71"/>
      <c r="I17" s="71"/>
      <c r="J17" s="71"/>
      <c r="K17" s="71"/>
      <c r="L17" s="71"/>
    </row>
    <row r="18" spans="2:13" ht="15">
      <c r="G18" s="71"/>
      <c r="H18" s="71"/>
      <c r="I18" s="71"/>
      <c r="J18" s="71"/>
      <c r="K18" s="71"/>
      <c r="L18" s="71"/>
    </row>
    <row r="19" spans="2:13" ht="15">
      <c r="B19" s="72" t="s">
        <v>705</v>
      </c>
      <c r="C19" s="71" t="s">
        <v>706</v>
      </c>
      <c r="D19" s="71"/>
      <c r="F19" s="71"/>
      <c r="G19" s="71"/>
      <c r="H19" s="71"/>
      <c r="I19" s="71"/>
      <c r="J19" s="71"/>
      <c r="L19" s="71"/>
    </row>
    <row r="20" spans="2:13" ht="15">
      <c r="D20" s="71"/>
      <c r="F20" s="71"/>
      <c r="G20" s="71"/>
      <c r="H20" s="71"/>
      <c r="I20" s="71"/>
      <c r="J20" s="71"/>
      <c r="K20" s="317"/>
      <c r="L20" s="71"/>
    </row>
    <row r="21" spans="2:13" ht="15">
      <c r="C21" s="71" t="s">
        <v>707</v>
      </c>
      <c r="D21" s="72" t="s">
        <v>708</v>
      </c>
      <c r="E21" s="71" t="s">
        <v>709</v>
      </c>
      <c r="F21" s="71"/>
      <c r="G21" s="71"/>
      <c r="H21" s="71"/>
      <c r="I21" s="71"/>
      <c r="J21" s="71"/>
      <c r="K21" s="71"/>
      <c r="L21" s="71"/>
    </row>
    <row r="22" spans="2:13" ht="15">
      <c r="E22" s="71" t="s">
        <v>710</v>
      </c>
      <c r="F22" s="71"/>
      <c r="G22" s="71"/>
      <c r="H22" s="71"/>
      <c r="I22" s="71"/>
      <c r="J22" s="71"/>
      <c r="K22" s="71"/>
      <c r="L22" s="71"/>
    </row>
    <row r="23" spans="2:13" ht="15">
      <c r="E23" s="71" t="s">
        <v>711</v>
      </c>
      <c r="F23" s="71"/>
      <c r="G23" s="71"/>
      <c r="H23" s="71"/>
      <c r="I23" s="71"/>
      <c r="J23" s="71"/>
      <c r="K23" s="318"/>
      <c r="L23" s="71"/>
    </row>
    <row r="24" spans="2:13" ht="15">
      <c r="E24" s="71"/>
      <c r="I24" s="71"/>
      <c r="J24" s="71"/>
      <c r="K24" s="71"/>
      <c r="L24" s="71"/>
    </row>
    <row r="25" spans="2:13" ht="15">
      <c r="C25" s="71"/>
      <c r="H25" s="71"/>
      <c r="I25" s="71"/>
      <c r="J25" s="71"/>
      <c r="K25" s="71"/>
      <c r="L25" s="71"/>
    </row>
    <row r="26" spans="2:13" ht="16.5">
      <c r="B26" s="319"/>
      <c r="C26" s="71" t="s">
        <v>712</v>
      </c>
      <c r="F26" s="71"/>
      <c r="G26" s="71"/>
      <c r="H26" s="71"/>
      <c r="I26" s="71"/>
    </row>
    <row r="27" spans="2:13" ht="16.5">
      <c r="B27" s="320"/>
      <c r="C27" s="71" t="s">
        <v>713</v>
      </c>
      <c r="F27" s="71"/>
      <c r="G27" s="71"/>
      <c r="I27" s="71"/>
    </row>
    <row r="28" spans="2:13" ht="15">
      <c r="B28" s="72"/>
      <c r="C28" s="71" t="s">
        <v>714</v>
      </c>
      <c r="F28" s="71"/>
      <c r="G28" s="71"/>
    </row>
    <row r="29" spans="2:13" ht="15">
      <c r="B29" s="72"/>
      <c r="C29" s="71" t="s">
        <v>715</v>
      </c>
      <c r="F29" s="71"/>
      <c r="G29" s="71"/>
      <c r="M29" s="70"/>
    </row>
    <row r="30" spans="2:13" ht="15">
      <c r="B30" s="72"/>
      <c r="C30" s="71" t="s">
        <v>716</v>
      </c>
    </row>
    <row r="31" spans="2:13" ht="15">
      <c r="B31" s="72"/>
      <c r="C31" s="71" t="s">
        <v>717</v>
      </c>
      <c r="H31" s="71"/>
    </row>
    <row r="32" spans="2:13" ht="15">
      <c r="B32" s="72"/>
    </row>
    <row r="33" spans="1:14" ht="15">
      <c r="H33" s="71"/>
      <c r="I33" s="71"/>
      <c r="J33" s="71"/>
      <c r="K33" s="71"/>
    </row>
    <row r="34" spans="1:14" ht="15">
      <c r="C34" s="71"/>
      <c r="D34" s="72"/>
      <c r="E34" s="71"/>
      <c r="F34" s="71"/>
      <c r="G34" s="71"/>
      <c r="I34" s="72" t="s">
        <v>719</v>
      </c>
      <c r="J34" s="72" t="s">
        <v>720</v>
      </c>
    </row>
    <row r="35" spans="1:14" ht="15">
      <c r="A35" s="540" t="s">
        <v>735</v>
      </c>
      <c r="C35" s="71"/>
      <c r="D35" s="72"/>
      <c r="E35" s="71"/>
      <c r="F35" s="71"/>
      <c r="G35" s="71"/>
      <c r="I35" s="384" t="s">
        <v>721</v>
      </c>
      <c r="J35" s="384" t="s">
        <v>721</v>
      </c>
      <c r="K35" s="440" t="s">
        <v>722</v>
      </c>
    </row>
    <row r="36" spans="1:14" ht="15">
      <c r="A36" s="192">
        <v>1</v>
      </c>
      <c r="B36" s="69" t="s">
        <v>207</v>
      </c>
      <c r="C36" s="71" t="s">
        <v>736</v>
      </c>
      <c r="D36" s="72"/>
      <c r="E36" s="71"/>
      <c r="F36" s="71"/>
      <c r="G36" s="71"/>
      <c r="I36" s="565">
        <v>3363723</v>
      </c>
      <c r="J36" s="35"/>
      <c r="K36" s="71"/>
      <c r="M36" s="195"/>
    </row>
    <row r="37" spans="1:14" ht="15">
      <c r="A37" s="192">
        <f>+A36+1</f>
        <v>2</v>
      </c>
      <c r="B37" s="69" t="s">
        <v>209</v>
      </c>
      <c r="C37" s="71" t="s">
        <v>737</v>
      </c>
      <c r="D37" s="72"/>
      <c r="E37" s="71"/>
      <c r="F37" s="71"/>
      <c r="G37" s="71"/>
      <c r="I37" s="611">
        <v>4541508</v>
      </c>
      <c r="J37" s="439"/>
      <c r="K37" s="71"/>
      <c r="M37" s="70"/>
    </row>
    <row r="38" spans="1:14" ht="15">
      <c r="A38" s="192">
        <f t="shared" ref="A38:A40" si="0">+A37+1</f>
        <v>3</v>
      </c>
      <c r="B38" s="69" t="s">
        <v>211</v>
      </c>
      <c r="C38" s="71" t="s">
        <v>725</v>
      </c>
      <c r="D38" s="72"/>
      <c r="E38" s="71"/>
      <c r="F38" s="71"/>
      <c r="G38" s="71"/>
      <c r="I38" s="91">
        <f>I36-I37</f>
        <v>-1177785</v>
      </c>
      <c r="J38" s="91">
        <f>+I38</f>
        <v>-1177785</v>
      </c>
      <c r="K38" s="884">
        <v>2022</v>
      </c>
      <c r="L38" s="884">
        <v>2021</v>
      </c>
      <c r="M38" s="884">
        <v>2020</v>
      </c>
      <c r="N38" s="884" t="s">
        <v>67</v>
      </c>
    </row>
    <row r="39" spans="1:14" ht="15">
      <c r="A39" s="192">
        <f t="shared" si="0"/>
        <v>4</v>
      </c>
      <c r="B39" s="69" t="s">
        <v>213</v>
      </c>
      <c r="C39" s="71" t="s">
        <v>726</v>
      </c>
      <c r="D39" s="72"/>
      <c r="E39" s="71"/>
      <c r="F39" s="71"/>
      <c r="G39" s="71"/>
      <c r="I39" s="612">
        <f>(1+E74)^24</f>
        <v>1.1490060878886428</v>
      </c>
      <c r="J39" s="612">
        <f>(1+F74)^24</f>
        <v>1.149463125195868</v>
      </c>
      <c r="K39" s="71"/>
      <c r="L39" s="71"/>
      <c r="M39" s="71"/>
      <c r="N39" s="71"/>
    </row>
    <row r="40" spans="1:14" ht="15">
      <c r="A40" s="192">
        <f t="shared" si="0"/>
        <v>5</v>
      </c>
      <c r="B40" s="69" t="s">
        <v>215</v>
      </c>
      <c r="C40" s="71" t="s">
        <v>727</v>
      </c>
      <c r="D40" s="72"/>
      <c r="E40" s="71"/>
      <c r="F40" s="71"/>
      <c r="G40" s="71"/>
      <c r="I40" s="91">
        <f>+I38*I39</f>
        <v>-1353282.1352239251</v>
      </c>
      <c r="J40" s="91">
        <f>+J38*J39</f>
        <v>-1353820.4269088155</v>
      </c>
      <c r="K40" s="5">
        <f>+J40-I40</f>
        <v>-538.29168489039876</v>
      </c>
      <c r="L40" s="5">
        <v>9166</v>
      </c>
      <c r="M40" s="5">
        <v>0</v>
      </c>
      <c r="N40" s="5">
        <f>+SUM(K40:M40)</f>
        <v>8627.7083151096012</v>
      </c>
    </row>
    <row r="41" spans="1:14" ht="15">
      <c r="A41" s="192">
        <f>+A40+1</f>
        <v>6</v>
      </c>
      <c r="B41" s="69" t="s">
        <v>217</v>
      </c>
      <c r="C41" s="71" t="s">
        <v>728</v>
      </c>
      <c r="D41" s="72"/>
      <c r="E41" s="71"/>
      <c r="F41" s="71"/>
      <c r="G41" s="71"/>
      <c r="H41" s="91"/>
      <c r="I41" s="91">
        <f>+I40+K40</f>
        <v>-1353820.4269088155</v>
      </c>
      <c r="J41" s="71"/>
      <c r="K41" s="71"/>
    </row>
    <row r="42" spans="1:14" ht="15">
      <c r="C42" s="71"/>
      <c r="D42" s="72"/>
      <c r="E42" s="71"/>
      <c r="F42" s="71"/>
      <c r="G42" s="71"/>
      <c r="H42" s="71"/>
      <c r="J42" s="71"/>
      <c r="K42" s="71"/>
    </row>
    <row r="43" spans="1:14" ht="15">
      <c r="C43" s="71" t="s">
        <v>729</v>
      </c>
      <c r="D43" s="71"/>
      <c r="E43" s="71"/>
      <c r="F43" s="71"/>
      <c r="G43" s="71"/>
      <c r="H43" s="20"/>
    </row>
    <row r="44" spans="1:14" ht="15">
      <c r="C44" s="71" t="s">
        <v>730</v>
      </c>
      <c r="D44" s="71"/>
      <c r="E44" s="71"/>
      <c r="F44" s="71"/>
      <c r="G44" s="71"/>
      <c r="H44" s="193"/>
      <c r="I44" s="150"/>
      <c r="J44" s="321"/>
    </row>
    <row r="45" spans="1:14" ht="15">
      <c r="C45" s="71"/>
      <c r="D45" s="71"/>
      <c r="E45" s="71"/>
      <c r="F45" s="71"/>
      <c r="G45" s="71"/>
      <c r="H45" s="147"/>
      <c r="I45" s="191"/>
      <c r="J45" s="191"/>
      <c r="K45" s="191"/>
    </row>
    <row r="46" spans="1:14" ht="15">
      <c r="B46" s="90" t="s">
        <v>731</v>
      </c>
      <c r="C46" s="71"/>
      <c r="D46" s="71"/>
      <c r="E46" s="72" t="s">
        <v>719</v>
      </c>
      <c r="F46" s="72" t="s">
        <v>732</v>
      </c>
      <c r="G46" s="71"/>
      <c r="H46" s="147"/>
      <c r="I46" s="191"/>
      <c r="J46" s="191"/>
      <c r="K46" s="191"/>
    </row>
    <row r="47" spans="1:14" ht="20.25">
      <c r="B47" s="192"/>
      <c r="C47" s="72"/>
      <c r="D47" s="71"/>
      <c r="E47" s="72" t="s">
        <v>733</v>
      </c>
      <c r="F47" s="72" t="s">
        <v>733</v>
      </c>
      <c r="H47" s="47"/>
      <c r="I47" s="147"/>
      <c r="J47" s="20"/>
      <c r="K47" s="322"/>
    </row>
    <row r="48" spans="1:14" ht="17.25">
      <c r="B48" s="538" t="s">
        <v>416</v>
      </c>
      <c r="C48" s="384" t="s">
        <v>355</v>
      </c>
      <c r="D48" s="71"/>
      <c r="E48" s="384" t="s">
        <v>721</v>
      </c>
      <c r="F48" s="384" t="s">
        <v>721</v>
      </c>
      <c r="H48" s="152"/>
      <c r="I48" s="321"/>
      <c r="J48" s="324"/>
      <c r="K48" s="322"/>
    </row>
    <row r="49" spans="1:11" ht="15">
      <c r="A49" s="192">
        <f>+A41+1</f>
        <v>7</v>
      </c>
      <c r="B49" s="90" t="s">
        <v>376</v>
      </c>
      <c r="C49" s="72">
        <v>2022</v>
      </c>
      <c r="D49" s="71"/>
      <c r="E49" s="325">
        <v>3.0999999999999999E-3</v>
      </c>
      <c r="F49" s="325">
        <v>3.0999999999999999E-3</v>
      </c>
      <c r="G49" s="90"/>
      <c r="H49" s="92"/>
      <c r="I49" s="340"/>
      <c r="J49" s="341"/>
      <c r="K49" s="322"/>
    </row>
    <row r="50" spans="1:11" ht="15">
      <c r="A50" s="192">
        <f>+A49+1</f>
        <v>8</v>
      </c>
      <c r="B50" s="90" t="s">
        <v>377</v>
      </c>
      <c r="C50" s="72">
        <v>2022</v>
      </c>
      <c r="D50" s="71"/>
      <c r="E50" s="325">
        <v>3.0999999999999999E-3</v>
      </c>
      <c r="F50" s="325">
        <v>3.0999999999999999E-3</v>
      </c>
      <c r="G50" s="323"/>
      <c r="H50" s="72"/>
      <c r="I50" s="71"/>
      <c r="J50" s="92"/>
      <c r="K50" s="322"/>
    </row>
    <row r="51" spans="1:11" ht="15">
      <c r="A51" s="192">
        <f t="shared" ref="A51:A72" si="1">+A50+1</f>
        <v>9</v>
      </c>
      <c r="B51" s="90" t="s">
        <v>378</v>
      </c>
      <c r="C51" s="72">
        <v>2022</v>
      </c>
      <c r="D51" s="71"/>
      <c r="E51" s="325">
        <v>3.0000000000000001E-3</v>
      </c>
      <c r="F51" s="325">
        <v>3.0000000000000001E-3</v>
      </c>
      <c r="G51" s="71"/>
      <c r="H51" s="72"/>
      <c r="I51" s="71"/>
      <c r="J51" s="72"/>
      <c r="K51" s="322"/>
    </row>
    <row r="52" spans="1:11" ht="15">
      <c r="A52" s="192">
        <f t="shared" si="1"/>
        <v>10</v>
      </c>
      <c r="B52" s="90" t="s">
        <v>379</v>
      </c>
      <c r="C52" s="72">
        <v>2022</v>
      </c>
      <c r="D52" s="71"/>
      <c r="E52" s="325">
        <v>4.1999999999999997E-3</v>
      </c>
      <c r="F52" s="325">
        <v>4.1999999999999997E-3</v>
      </c>
      <c r="G52" s="71"/>
      <c r="H52" s="72"/>
      <c r="I52" s="71"/>
      <c r="J52" s="72"/>
      <c r="K52" s="322"/>
    </row>
    <row r="53" spans="1:11" ht="15">
      <c r="A53" s="192">
        <f t="shared" si="1"/>
        <v>11</v>
      </c>
      <c r="B53" s="90" t="s">
        <v>380</v>
      </c>
      <c r="C53" s="72">
        <v>2022</v>
      </c>
      <c r="D53" s="71"/>
      <c r="E53" s="325">
        <v>4.0000000000000001E-3</v>
      </c>
      <c r="F53" s="325">
        <v>4.0000000000000001E-3</v>
      </c>
      <c r="G53" s="71"/>
      <c r="H53" s="92"/>
      <c r="I53" s="71"/>
      <c r="J53" s="72"/>
      <c r="K53" s="322"/>
    </row>
    <row r="54" spans="1:11" ht="15">
      <c r="A54" s="192">
        <f t="shared" si="1"/>
        <v>12</v>
      </c>
      <c r="B54" s="90" t="s">
        <v>381</v>
      </c>
      <c r="C54" s="72">
        <v>2022</v>
      </c>
      <c r="D54" s="71"/>
      <c r="E54" s="325">
        <v>4.1999999999999997E-3</v>
      </c>
      <c r="F54" s="325">
        <v>4.1999999999999997E-3</v>
      </c>
      <c r="G54" s="71"/>
      <c r="H54" s="72"/>
      <c r="I54" s="71"/>
      <c r="J54" s="72"/>
      <c r="K54" s="322"/>
    </row>
    <row r="55" spans="1:11" ht="15">
      <c r="A55" s="192">
        <f t="shared" si="1"/>
        <v>13</v>
      </c>
      <c r="B55" s="90" t="s">
        <v>370</v>
      </c>
      <c r="C55" s="72">
        <v>2023</v>
      </c>
      <c r="D55" s="71"/>
      <c r="E55" s="325">
        <v>5.4000000000000003E-3</v>
      </c>
      <c r="F55" s="325">
        <v>5.4000000000000003E-3</v>
      </c>
      <c r="G55" s="71"/>
      <c r="H55" s="72"/>
      <c r="I55" s="71"/>
      <c r="J55" s="72"/>
      <c r="K55" s="322"/>
    </row>
    <row r="56" spans="1:11" ht="15">
      <c r="A56" s="192">
        <f t="shared" si="1"/>
        <v>14</v>
      </c>
      <c r="B56" s="90" t="s">
        <v>371</v>
      </c>
      <c r="C56" s="72">
        <v>2023</v>
      </c>
      <c r="D56" s="71"/>
      <c r="E56" s="325">
        <v>4.7999999999999996E-3</v>
      </c>
      <c r="F56" s="325">
        <v>4.7999999999999996E-3</v>
      </c>
      <c r="G56" s="71"/>
      <c r="H56" s="72"/>
      <c r="I56" s="71"/>
      <c r="J56" s="72"/>
      <c r="K56" s="322"/>
    </row>
    <row r="57" spans="1:11" ht="15">
      <c r="A57" s="192">
        <f t="shared" si="1"/>
        <v>15</v>
      </c>
      <c r="B57" s="90" t="s">
        <v>372</v>
      </c>
      <c r="C57" s="72">
        <v>2023</v>
      </c>
      <c r="D57" s="71"/>
      <c r="E57" s="325">
        <v>5.4000000000000003E-3</v>
      </c>
      <c r="F57" s="325">
        <v>5.4000000000000003E-3</v>
      </c>
      <c r="G57" s="71"/>
      <c r="H57" s="72"/>
      <c r="I57" s="71"/>
      <c r="J57" s="72"/>
      <c r="K57" s="322"/>
    </row>
    <row r="58" spans="1:11" ht="15">
      <c r="A58" s="192">
        <f t="shared" si="1"/>
        <v>16</v>
      </c>
      <c r="B58" s="90" t="s">
        <v>373</v>
      </c>
      <c r="C58" s="72">
        <v>2023</v>
      </c>
      <c r="D58" s="71"/>
      <c r="E58" s="325">
        <v>6.1999999999999998E-3</v>
      </c>
      <c r="F58" s="325">
        <v>6.1999999999999998E-3</v>
      </c>
      <c r="G58" s="71"/>
      <c r="H58" s="72"/>
      <c r="I58" s="71"/>
      <c r="J58" s="72"/>
      <c r="K58" s="322"/>
    </row>
    <row r="59" spans="1:11" ht="15">
      <c r="A59" s="192">
        <f t="shared" si="1"/>
        <v>17</v>
      </c>
      <c r="B59" s="90" t="s">
        <v>374</v>
      </c>
      <c r="C59" s="72">
        <v>2023</v>
      </c>
      <c r="D59" s="71"/>
      <c r="E59" s="325">
        <v>6.4000000000000003E-3</v>
      </c>
      <c r="F59" s="325">
        <v>6.4000000000000003E-3</v>
      </c>
      <c r="G59" s="71"/>
      <c r="H59" s="72"/>
      <c r="I59" s="71"/>
      <c r="J59" s="72"/>
      <c r="K59" s="322"/>
    </row>
    <row r="60" spans="1:11" ht="15">
      <c r="A60" s="192">
        <f t="shared" si="1"/>
        <v>18</v>
      </c>
      <c r="B60" s="90" t="s">
        <v>375</v>
      </c>
      <c r="C60" s="72">
        <v>2023</v>
      </c>
      <c r="D60" s="71"/>
      <c r="E60" s="325">
        <v>6.1999999999999998E-3</v>
      </c>
      <c r="F60" s="325">
        <v>6.1999999999999998E-3</v>
      </c>
      <c r="G60" s="71"/>
      <c r="H60" s="72"/>
      <c r="I60" s="71"/>
      <c r="J60" s="72"/>
      <c r="K60" s="322"/>
    </row>
    <row r="61" spans="1:11" ht="15">
      <c r="A61" s="192">
        <f t="shared" si="1"/>
        <v>19</v>
      </c>
      <c r="B61" s="90" t="s">
        <v>376</v>
      </c>
      <c r="C61" s="72">
        <v>2023</v>
      </c>
      <c r="D61" s="71"/>
      <c r="E61" s="325">
        <v>6.7999999999999996E-3</v>
      </c>
      <c r="F61" s="325">
        <v>6.7999999999999996E-3</v>
      </c>
      <c r="G61" s="71"/>
      <c r="H61" s="72"/>
      <c r="I61" s="71"/>
      <c r="J61" s="72"/>
      <c r="K61" s="322"/>
    </row>
    <row r="62" spans="1:11" ht="15">
      <c r="A62" s="192">
        <f t="shared" si="1"/>
        <v>20</v>
      </c>
      <c r="B62" s="90" t="s">
        <v>377</v>
      </c>
      <c r="C62" s="72">
        <v>2023</v>
      </c>
      <c r="D62" s="71"/>
      <c r="E62" s="325">
        <v>6.7999999999999996E-3</v>
      </c>
      <c r="F62" s="325">
        <v>6.7999999999999996E-3</v>
      </c>
      <c r="G62" s="71"/>
      <c r="H62" s="72"/>
      <c r="I62" s="71"/>
      <c r="J62" s="72"/>
      <c r="K62" s="322"/>
    </row>
    <row r="63" spans="1:11" ht="15">
      <c r="A63" s="192">
        <f t="shared" si="1"/>
        <v>21</v>
      </c>
      <c r="B63" s="90" t="s">
        <v>378</v>
      </c>
      <c r="C63" s="72">
        <v>2023</v>
      </c>
      <c r="D63" s="71"/>
      <c r="E63" s="325">
        <v>6.6E-3</v>
      </c>
      <c r="F63" s="325">
        <v>6.6E-3</v>
      </c>
      <c r="G63" s="71"/>
      <c r="H63" s="72"/>
      <c r="I63" s="71"/>
      <c r="J63" s="72"/>
      <c r="K63" s="322"/>
    </row>
    <row r="64" spans="1:11" ht="15">
      <c r="A64" s="192">
        <f t="shared" si="1"/>
        <v>22</v>
      </c>
      <c r="B64" s="90" t="s">
        <v>379</v>
      </c>
      <c r="C64" s="72">
        <v>2023</v>
      </c>
      <c r="D64" s="71"/>
      <c r="E64" s="325">
        <v>7.1000000000000004E-3</v>
      </c>
      <c r="F64" s="325">
        <v>7.1000000000000004E-3</v>
      </c>
      <c r="G64" s="71"/>
      <c r="H64" s="72"/>
      <c r="I64" s="71"/>
      <c r="J64" s="72"/>
      <c r="K64" s="322"/>
    </row>
    <row r="65" spans="1:11" ht="15">
      <c r="A65" s="192">
        <f t="shared" si="1"/>
        <v>23</v>
      </c>
      <c r="B65" s="90" t="s">
        <v>380</v>
      </c>
      <c r="C65" s="72">
        <v>2023</v>
      </c>
      <c r="D65" s="71"/>
      <c r="E65" s="325">
        <v>6.8999999999999999E-3</v>
      </c>
      <c r="F65" s="325">
        <v>6.8999999999999999E-3</v>
      </c>
      <c r="G65" s="71"/>
      <c r="H65" s="72"/>
      <c r="I65" s="71"/>
      <c r="J65" s="72"/>
      <c r="K65" s="322"/>
    </row>
    <row r="66" spans="1:11" ht="15">
      <c r="A66" s="192">
        <f t="shared" si="1"/>
        <v>24</v>
      </c>
      <c r="B66" s="90" t="s">
        <v>381</v>
      </c>
      <c r="C66" s="72">
        <v>2023</v>
      </c>
      <c r="D66" s="71"/>
      <c r="E66" s="325">
        <f>+E64</f>
        <v>7.1000000000000004E-3</v>
      </c>
      <c r="F66" s="325">
        <v>7.1000000000000004E-3</v>
      </c>
      <c r="G66" s="71"/>
      <c r="H66" s="72"/>
      <c r="I66" s="71"/>
      <c r="J66" s="72"/>
      <c r="K66" s="322"/>
    </row>
    <row r="67" spans="1:11" ht="15">
      <c r="A67" s="192">
        <f t="shared" si="1"/>
        <v>25</v>
      </c>
      <c r="B67" s="90" t="s">
        <v>370</v>
      </c>
      <c r="C67" s="72">
        <v>2024</v>
      </c>
      <c r="D67" s="71"/>
      <c r="E67" s="325">
        <f>+E66</f>
        <v>7.1000000000000004E-3</v>
      </c>
      <c r="F67" s="325">
        <v>7.1999999999999998E-3</v>
      </c>
      <c r="G67" s="71"/>
      <c r="H67" s="72"/>
      <c r="I67" s="71"/>
      <c r="J67" s="72"/>
      <c r="K67" s="322"/>
    </row>
    <row r="68" spans="1:11" ht="15">
      <c r="A68" s="192">
        <f t="shared" si="1"/>
        <v>26</v>
      </c>
      <c r="B68" s="90" t="s">
        <v>371</v>
      </c>
      <c r="C68" s="72">
        <v>2024</v>
      </c>
      <c r="D68" s="71"/>
      <c r="E68" s="325">
        <f>+E65</f>
        <v>6.8999999999999999E-3</v>
      </c>
      <c r="F68" s="325">
        <v>6.7999999999999996E-3</v>
      </c>
      <c r="G68" s="71"/>
      <c r="H68" s="72"/>
      <c r="I68" s="71"/>
      <c r="J68" s="72"/>
    </row>
    <row r="69" spans="1:11" ht="15">
      <c r="A69" s="192">
        <f t="shared" si="1"/>
        <v>27</v>
      </c>
      <c r="B69" s="90" t="s">
        <v>372</v>
      </c>
      <c r="C69" s="72">
        <v>2024</v>
      </c>
      <c r="D69" s="71"/>
      <c r="E69" s="325">
        <f>+E67</f>
        <v>7.1000000000000004E-3</v>
      </c>
      <c r="F69" s="325">
        <v>7.1999999999999998E-3</v>
      </c>
      <c r="G69" s="71"/>
      <c r="H69" s="72"/>
      <c r="I69" s="71"/>
      <c r="J69" s="72"/>
    </row>
    <row r="70" spans="1:11" ht="15">
      <c r="A70" s="192">
        <f t="shared" si="1"/>
        <v>28</v>
      </c>
      <c r="B70" s="90" t="s">
        <v>373</v>
      </c>
      <c r="C70" s="72">
        <v>2024</v>
      </c>
      <c r="D70" s="71"/>
      <c r="E70" s="325">
        <f>+E65</f>
        <v>6.8999999999999999E-3</v>
      </c>
      <c r="F70" s="325">
        <v>7.0000000000000001E-3</v>
      </c>
      <c r="G70" s="71"/>
      <c r="H70" s="72"/>
      <c r="I70" s="71"/>
      <c r="J70" s="72"/>
    </row>
    <row r="71" spans="1:11" ht="15">
      <c r="A71" s="192">
        <f t="shared" si="1"/>
        <v>29</v>
      </c>
      <c r="B71" s="90" t="s">
        <v>374</v>
      </c>
      <c r="C71" s="72">
        <v>2024</v>
      </c>
      <c r="D71" s="71"/>
      <c r="E71" s="325">
        <f>+E69</f>
        <v>7.1000000000000004E-3</v>
      </c>
      <c r="F71" s="325">
        <v>7.1999999999999998E-3</v>
      </c>
      <c r="G71" s="71"/>
      <c r="H71" s="72"/>
      <c r="I71" s="71"/>
      <c r="J71" s="72"/>
    </row>
    <row r="72" spans="1:11" ht="15">
      <c r="A72" s="192">
        <f t="shared" si="1"/>
        <v>30</v>
      </c>
      <c r="B72" s="90" t="s">
        <v>375</v>
      </c>
      <c r="C72" s="72">
        <v>2024</v>
      </c>
      <c r="D72" s="71"/>
      <c r="E72" s="325">
        <f>+E70</f>
        <v>6.8999999999999999E-3</v>
      </c>
      <c r="F72" s="325">
        <v>7.0000000000000001E-3</v>
      </c>
      <c r="G72" s="71"/>
      <c r="H72" s="71"/>
      <c r="I72" s="71"/>
      <c r="J72" s="326"/>
    </row>
    <row r="73" spans="1:11">
      <c r="B73" s="539"/>
    </row>
    <row r="74" spans="1:11" ht="15">
      <c r="A74" s="192">
        <f>+A72+1</f>
        <v>31</v>
      </c>
      <c r="B74" s="90" t="s">
        <v>507</v>
      </c>
      <c r="E74" s="383">
        <f>+SUM(E49:E72)/24</f>
        <v>5.8041666666666649E-3</v>
      </c>
      <c r="F74" s="383">
        <f>+SUM(F49:F72)/24</f>
        <v>5.8208333333333332E-3</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pageSetUpPr fitToPage="1"/>
  </sheetPr>
  <dimension ref="A1:AB62"/>
  <sheetViews>
    <sheetView zoomScaleNormal="100" zoomScaleSheetLayoutView="90" workbookViewId="0">
      <selection activeCell="J3" sqref="J3"/>
    </sheetView>
  </sheetViews>
  <sheetFormatPr defaultRowHeight="12.75"/>
  <cols>
    <col min="1" max="1" width="5.28515625" customWidth="1"/>
    <col min="2" max="2" width="31.140625" customWidth="1"/>
    <col min="3" max="3" width="24.7109375" customWidth="1"/>
    <col min="4" max="4" width="5.5703125" customWidth="1"/>
    <col min="5" max="5" width="13.28515625" customWidth="1"/>
    <col min="6" max="6" width="6" customWidth="1"/>
    <col min="7" max="7" width="13.28515625" customWidth="1"/>
    <col min="8" max="8" width="4.7109375" customWidth="1"/>
    <col min="9" max="9" width="12.5703125" customWidth="1"/>
    <col min="10" max="10" width="4.85546875" customWidth="1"/>
    <col min="11" max="11" width="12.140625" customWidth="1"/>
    <col min="12" max="12" width="4.85546875" customWidth="1"/>
    <col min="13" max="13" width="10.28515625" customWidth="1"/>
    <col min="14" max="14" width="4.5703125" customWidth="1"/>
    <col min="16" max="16" width="4.28515625" customWidth="1"/>
    <col min="18" max="18" width="3.7109375" customWidth="1"/>
    <col min="20" max="20" width="4.7109375" customWidth="1"/>
    <col min="22" max="22" width="4.7109375" customWidth="1"/>
    <col min="24" max="24" width="4.5703125" customWidth="1"/>
    <col min="25" max="25" width="11.140625" customWidth="1"/>
    <col min="26" max="26" width="5.42578125" customWidth="1"/>
  </cols>
  <sheetData>
    <row r="1" spans="1:28" ht="18">
      <c r="A1" s="178"/>
      <c r="B1" s="178"/>
      <c r="C1" s="178"/>
      <c r="D1" s="178"/>
      <c r="E1" s="178"/>
      <c r="F1" s="178"/>
      <c r="G1" s="178"/>
      <c r="H1" s="192"/>
      <c r="I1" s="192"/>
      <c r="J1" s="178" t="str">
        <f>+'Appendix A'!A3</f>
        <v>Dayton Power and Light</v>
      </c>
      <c r="K1" s="178"/>
      <c r="L1" s="178"/>
      <c r="M1" s="178"/>
      <c r="N1" s="178"/>
      <c r="O1" s="180"/>
      <c r="P1" s="180"/>
    </row>
    <row r="2" spans="1:28" ht="18">
      <c r="A2" s="69"/>
      <c r="B2" s="178"/>
      <c r="C2" s="178"/>
      <c r="D2" s="178"/>
      <c r="E2" s="178"/>
      <c r="F2" s="178"/>
      <c r="G2" s="178"/>
      <c r="H2" s="192"/>
      <c r="I2" s="192"/>
      <c r="J2" s="178" t="str">
        <f>+'Appendix A'!A4</f>
        <v xml:space="preserve">ATTACHMENT H-15A </v>
      </c>
      <c r="K2" s="178"/>
      <c r="L2" s="178"/>
      <c r="M2" s="178"/>
      <c r="N2" s="178"/>
      <c r="O2" s="180"/>
      <c r="P2" s="180"/>
    </row>
    <row r="3" spans="1:28" ht="18">
      <c r="A3" s="69"/>
      <c r="B3" s="178"/>
      <c r="C3" s="178"/>
      <c r="D3" s="178"/>
      <c r="E3" s="178"/>
      <c r="F3" s="178"/>
      <c r="G3" s="178"/>
      <c r="H3" s="192"/>
      <c r="I3" s="192"/>
      <c r="J3" s="178" t="s">
        <v>1014</v>
      </c>
      <c r="K3" s="178"/>
      <c r="L3" s="178"/>
      <c r="M3" s="178"/>
      <c r="N3" s="178"/>
      <c r="O3" s="180"/>
      <c r="P3" s="180"/>
      <c r="Y3" s="627"/>
    </row>
    <row r="4" spans="1:28" ht="18">
      <c r="A4" s="69"/>
      <c r="B4" s="45" t="s">
        <v>411</v>
      </c>
      <c r="C4" s="327"/>
      <c r="D4" s="178"/>
      <c r="E4" s="178"/>
      <c r="F4" s="178"/>
      <c r="G4" s="178"/>
      <c r="H4" s="178"/>
      <c r="I4" s="178"/>
      <c r="J4" s="178"/>
      <c r="K4" s="178"/>
      <c r="L4" s="178"/>
      <c r="M4" s="178"/>
      <c r="N4" s="178"/>
      <c r="O4" s="178"/>
      <c r="P4" s="178"/>
    </row>
    <row r="5" spans="1:28" ht="18">
      <c r="A5" s="176"/>
      <c r="B5" s="328"/>
      <c r="C5" s="327"/>
      <c r="D5" s="176"/>
      <c r="E5" s="176"/>
      <c r="F5" s="74"/>
      <c r="G5" s="74"/>
      <c r="H5" s="74"/>
      <c r="I5" s="74"/>
      <c r="J5" s="180"/>
      <c r="K5" s="180"/>
      <c r="L5" s="180"/>
      <c r="M5" s="180"/>
      <c r="N5" s="180"/>
      <c r="O5" s="180"/>
      <c r="P5" s="180"/>
    </row>
    <row r="6" spans="1:28" ht="18">
      <c r="A6" s="69"/>
      <c r="B6" s="537" t="s">
        <v>738</v>
      </c>
      <c r="C6" s="192"/>
      <c r="D6" s="69"/>
      <c r="E6" s="192"/>
      <c r="F6" s="354"/>
      <c r="G6" s="192"/>
      <c r="H6" s="192"/>
      <c r="I6" s="192"/>
      <c r="J6" s="500"/>
      <c r="K6" s="501"/>
      <c r="L6" s="192"/>
      <c r="M6" s="192"/>
      <c r="N6" s="180"/>
      <c r="O6" s="180"/>
      <c r="P6" s="180"/>
      <c r="Q6" s="354"/>
      <c r="R6" s="354"/>
      <c r="S6" s="354"/>
      <c r="T6" s="354"/>
      <c r="U6" s="354"/>
      <c r="V6" s="354"/>
      <c r="W6" s="354"/>
      <c r="X6" s="354"/>
      <c r="Y6" s="354"/>
      <c r="Z6" s="354"/>
      <c r="AA6" s="354"/>
      <c r="AB6" s="354"/>
    </row>
    <row r="7" spans="1:28">
      <c r="A7" s="354"/>
      <c r="B7" s="354"/>
      <c r="C7" s="354"/>
      <c r="D7" s="354"/>
      <c r="E7" s="354"/>
      <c r="F7" s="354"/>
      <c r="G7" s="769" t="s">
        <v>739</v>
      </c>
      <c r="H7" s="354"/>
      <c r="I7" s="769" t="s">
        <v>740</v>
      </c>
      <c r="J7" s="354"/>
      <c r="K7" s="769" t="s">
        <v>741</v>
      </c>
      <c r="L7" s="354"/>
      <c r="M7" s="769" t="s">
        <v>742</v>
      </c>
      <c r="N7" s="354"/>
      <c r="O7" s="769" t="s">
        <v>743</v>
      </c>
      <c r="P7" s="354"/>
      <c r="Q7" s="769" t="s">
        <v>744</v>
      </c>
      <c r="R7" s="354"/>
      <c r="S7" s="769" t="s">
        <v>745</v>
      </c>
      <c r="T7" s="354"/>
      <c r="U7" s="769" t="s">
        <v>746</v>
      </c>
      <c r="V7" s="354"/>
      <c r="W7" s="769" t="s">
        <v>747</v>
      </c>
      <c r="X7" s="354"/>
      <c r="Y7" s="769" t="s">
        <v>748</v>
      </c>
      <c r="Z7" s="354"/>
      <c r="AA7" s="354"/>
      <c r="AB7" s="354"/>
    </row>
    <row r="8" spans="1:28">
      <c r="A8" s="455" t="s">
        <v>735</v>
      </c>
      <c r="B8" s="354"/>
      <c r="C8" s="354"/>
      <c r="D8" s="354"/>
      <c r="E8" s="493" t="s">
        <v>67</v>
      </c>
      <c r="F8" s="354"/>
      <c r="G8" s="494" t="s">
        <v>749</v>
      </c>
      <c r="H8" s="354"/>
      <c r="I8" s="494" t="s">
        <v>749</v>
      </c>
      <c r="J8" s="354"/>
      <c r="K8" s="494" t="s">
        <v>749</v>
      </c>
      <c r="L8" s="354"/>
      <c r="M8" s="494" t="s">
        <v>749</v>
      </c>
      <c r="N8" s="354"/>
      <c r="O8" s="494" t="s">
        <v>749</v>
      </c>
      <c r="P8" s="354"/>
      <c r="Q8" s="494" t="s">
        <v>749</v>
      </c>
      <c r="R8" s="354"/>
      <c r="S8" s="494" t="s">
        <v>749</v>
      </c>
      <c r="T8" s="354"/>
      <c r="U8" s="494" t="s">
        <v>749</v>
      </c>
      <c r="V8" s="354"/>
      <c r="W8" s="494" t="s">
        <v>749</v>
      </c>
      <c r="X8" s="354"/>
      <c r="Y8" s="494" t="s">
        <v>749</v>
      </c>
      <c r="Z8" s="354"/>
      <c r="AA8" s="354"/>
      <c r="AB8" s="354"/>
    </row>
    <row r="9" spans="1:28">
      <c r="A9" s="354"/>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row>
    <row r="10" spans="1:28">
      <c r="A10" s="354">
        <v>1</v>
      </c>
      <c r="B10" s="354" t="s">
        <v>22</v>
      </c>
      <c r="C10" s="528" t="str">
        <f>"(Attachment 4, Line "&amp;'4 - Cost Support'!A243&amp;" etc.)"</f>
        <v>(Attachment 4, Line 88 etc.)</v>
      </c>
      <c r="D10" s="354"/>
      <c r="E10" s="457"/>
      <c r="F10" s="457"/>
      <c r="G10" s="613">
        <f>+'4 - Cost Support'!T243</f>
        <v>0</v>
      </c>
      <c r="H10" s="613"/>
      <c r="I10" s="613">
        <f>+'4 - Cost Support'!T248</f>
        <v>0</v>
      </c>
      <c r="J10" s="613"/>
      <c r="K10" s="613">
        <f>+'4 - Cost Support'!T253</f>
        <v>0</v>
      </c>
      <c r="L10" s="613"/>
      <c r="M10" s="613">
        <f>+'4 - Cost Support'!T258</f>
        <v>0</v>
      </c>
      <c r="N10" s="613"/>
      <c r="O10" s="613">
        <f>+'4 - Cost Support'!T263</f>
        <v>0</v>
      </c>
      <c r="P10" s="613"/>
      <c r="Q10" s="613">
        <f>+'4 - Cost Support'!T268</f>
        <v>0</v>
      </c>
      <c r="R10" s="613"/>
      <c r="S10" s="613">
        <f>+'4 - Cost Support'!T273</f>
        <v>0</v>
      </c>
      <c r="T10" s="613"/>
      <c r="U10" s="613">
        <f>+'4 - Cost Support'!T278</f>
        <v>0</v>
      </c>
      <c r="V10" s="613"/>
      <c r="W10" s="613">
        <f>+'4 - Cost Support'!T283</f>
        <v>0</v>
      </c>
      <c r="X10" s="613"/>
      <c r="Y10" s="613">
        <f>+'4 - Cost Support'!T288</f>
        <v>0</v>
      </c>
      <c r="Z10" s="354"/>
      <c r="AA10" s="354"/>
      <c r="AB10" s="354"/>
    </row>
    <row r="11" spans="1:28">
      <c r="A11" s="354">
        <f>+A10+1</f>
        <v>2</v>
      </c>
      <c r="B11" s="354" t="s">
        <v>31</v>
      </c>
      <c r="C11" s="528" t="str">
        <f>"(Attachment 4, Line "&amp;'4 - Cost Support'!A244&amp;" etc.)"</f>
        <v>(Attachment 4, Line 89 etc.)</v>
      </c>
      <c r="D11" s="354"/>
      <c r="E11" s="457"/>
      <c r="F11" s="457"/>
      <c r="G11" s="614">
        <f>+'4 - Cost Support'!T244</f>
        <v>0</v>
      </c>
      <c r="H11" s="614"/>
      <c r="I11" s="614">
        <f>+'4 - Cost Support'!T249</f>
        <v>0</v>
      </c>
      <c r="J11" s="614"/>
      <c r="K11" s="614">
        <f>+'4 - Cost Support'!T254</f>
        <v>0</v>
      </c>
      <c r="L11" s="614"/>
      <c r="M11" s="614">
        <f>+'4 - Cost Support'!T259</f>
        <v>0</v>
      </c>
      <c r="N11" s="614"/>
      <c r="O11" s="614">
        <f>+'4 - Cost Support'!T264</f>
        <v>0</v>
      </c>
      <c r="P11" s="614"/>
      <c r="Q11" s="614">
        <f>+'4 - Cost Support'!T269</f>
        <v>0</v>
      </c>
      <c r="R11" s="614"/>
      <c r="S11" s="614">
        <f>+'4 - Cost Support'!T274</f>
        <v>0</v>
      </c>
      <c r="T11" s="614"/>
      <c r="U11" s="614">
        <f>+'4 - Cost Support'!T279</f>
        <v>0</v>
      </c>
      <c r="V11" s="614"/>
      <c r="W11" s="614">
        <f>+'4 - Cost Support'!T284</f>
        <v>0</v>
      </c>
      <c r="X11" s="614"/>
      <c r="Y11" s="614">
        <f>+'4 - Cost Support'!T289</f>
        <v>0</v>
      </c>
      <c r="Z11" s="354"/>
      <c r="AA11" s="354"/>
      <c r="AB11" s="354"/>
    </row>
    <row r="12" spans="1:28">
      <c r="A12" s="354">
        <f>+A11+1</f>
        <v>3</v>
      </c>
      <c r="B12" s="354" t="s">
        <v>16</v>
      </c>
      <c r="C12" s="354" t="str">
        <f>"(Line "&amp;A10&amp;" + Line "&amp;A11&amp;")"</f>
        <v>(Line 1 + Line 2)</v>
      </c>
      <c r="D12" s="354"/>
      <c r="E12" s="457"/>
      <c r="F12" s="457"/>
      <c r="G12" s="613">
        <f>+G10-G11</f>
        <v>0</v>
      </c>
      <c r="H12" s="613"/>
      <c r="I12" s="613">
        <f>+I10-I11</f>
        <v>0</v>
      </c>
      <c r="J12" s="613"/>
      <c r="K12" s="613">
        <f>+K10-K11</f>
        <v>0</v>
      </c>
      <c r="L12" s="613"/>
      <c r="M12" s="613">
        <f>+M10-M11</f>
        <v>0</v>
      </c>
      <c r="N12" s="613"/>
      <c r="O12" s="613">
        <f>+O10-O11</f>
        <v>0</v>
      </c>
      <c r="P12" s="613"/>
      <c r="Q12" s="613">
        <f>+Q10-Q11</f>
        <v>0</v>
      </c>
      <c r="R12" s="613"/>
      <c r="S12" s="613">
        <f>+S10-S11</f>
        <v>0</v>
      </c>
      <c r="T12" s="613"/>
      <c r="U12" s="613">
        <f>+U10-U11</f>
        <v>0</v>
      </c>
      <c r="V12" s="613"/>
      <c r="W12" s="613">
        <f>+W10-W11</f>
        <v>0</v>
      </c>
      <c r="X12" s="613"/>
      <c r="Y12" s="613">
        <f>+Y10-Y11</f>
        <v>0</v>
      </c>
      <c r="Z12" s="354"/>
      <c r="AA12" s="354"/>
      <c r="AB12" s="354"/>
    </row>
    <row r="13" spans="1:28">
      <c r="A13" s="354">
        <f t="shared" ref="A13:A18" si="0">+A12+1</f>
        <v>4</v>
      </c>
      <c r="B13" s="354" t="s">
        <v>41</v>
      </c>
      <c r="C13" s="528" t="str">
        <f>"(Attachment 4, Line "&amp;'4 - Cost Support'!A245&amp;" etc.)"</f>
        <v>(Attachment 4, Line 90 etc.)</v>
      </c>
      <c r="D13" s="354"/>
      <c r="E13" s="457"/>
      <c r="F13" s="457"/>
      <c r="G13" s="614">
        <f>+'4 - Cost Support'!T245</f>
        <v>0</v>
      </c>
      <c r="H13" s="614"/>
      <c r="I13" s="614">
        <f>+'4 - Cost Support'!T250</f>
        <v>0</v>
      </c>
      <c r="J13" s="614"/>
      <c r="K13" s="614">
        <f>+'4 - Cost Support'!T255</f>
        <v>0</v>
      </c>
      <c r="L13" s="614"/>
      <c r="M13" s="614">
        <f>+'4 - Cost Support'!T260</f>
        <v>0</v>
      </c>
      <c r="N13" s="614"/>
      <c r="O13" s="614">
        <f>+'4 - Cost Support'!T265</f>
        <v>0</v>
      </c>
      <c r="P13" s="614"/>
      <c r="Q13" s="614">
        <f>+'4 - Cost Support'!T270</f>
        <v>0</v>
      </c>
      <c r="R13" s="614"/>
      <c r="S13" s="614">
        <f>+'4 - Cost Support'!T275</f>
        <v>0</v>
      </c>
      <c r="T13" s="614"/>
      <c r="U13" s="614">
        <f>+'4 - Cost Support'!T280</f>
        <v>0</v>
      </c>
      <c r="V13" s="614"/>
      <c r="W13" s="614">
        <f>+'4 - Cost Support'!T285</f>
        <v>0</v>
      </c>
      <c r="X13" s="614"/>
      <c r="Y13" s="614">
        <f>+'4 - Cost Support'!T290</f>
        <v>0</v>
      </c>
      <c r="Z13" s="354"/>
      <c r="AA13" s="354"/>
      <c r="AB13" s="354"/>
    </row>
    <row r="14" spans="1:28">
      <c r="A14" s="354">
        <f t="shared" si="0"/>
        <v>5</v>
      </c>
      <c r="B14" s="354" t="s">
        <v>75</v>
      </c>
      <c r="C14" s="354" t="str">
        <f>"(Line "&amp;A12&amp;" + Line "&amp;A13&amp;")"</f>
        <v>(Line 3 + Line 4)</v>
      </c>
      <c r="D14" s="354"/>
      <c r="E14" s="457"/>
      <c r="F14" s="457"/>
      <c r="G14" s="613">
        <f>+G12-G13</f>
        <v>0</v>
      </c>
      <c r="H14" s="613"/>
      <c r="I14" s="613">
        <f>+I12-I13</f>
        <v>0</v>
      </c>
      <c r="J14" s="613"/>
      <c r="K14" s="613">
        <f>+K12-K13</f>
        <v>0</v>
      </c>
      <c r="L14" s="613"/>
      <c r="M14" s="613">
        <f>+M12-M13</f>
        <v>0</v>
      </c>
      <c r="N14" s="613"/>
      <c r="O14" s="613">
        <f>+O12-O13</f>
        <v>0</v>
      </c>
      <c r="P14" s="613"/>
      <c r="Q14" s="613">
        <f>+Q12-Q13</f>
        <v>0</v>
      </c>
      <c r="R14" s="613"/>
      <c r="S14" s="613">
        <f>+S12-S13</f>
        <v>0</v>
      </c>
      <c r="T14" s="613"/>
      <c r="U14" s="613">
        <f>+U12-U13</f>
        <v>0</v>
      </c>
      <c r="V14" s="613"/>
      <c r="W14" s="613">
        <f>+W12-W13</f>
        <v>0</v>
      </c>
      <c r="X14" s="613"/>
      <c r="Y14" s="613">
        <f>+Y12-Y13</f>
        <v>0</v>
      </c>
      <c r="Z14" s="354"/>
      <c r="AA14" s="354"/>
      <c r="AB14" s="354"/>
    </row>
    <row r="15" spans="1:28">
      <c r="A15" s="354">
        <f t="shared" si="0"/>
        <v>6</v>
      </c>
      <c r="B15" s="354" t="s">
        <v>738</v>
      </c>
      <c r="C15" s="354" t="s">
        <v>750</v>
      </c>
      <c r="D15" s="354"/>
      <c r="E15" s="354"/>
      <c r="F15" s="354"/>
      <c r="G15" s="499">
        <v>0</v>
      </c>
      <c r="H15" s="181"/>
      <c r="I15" s="499">
        <v>0</v>
      </c>
      <c r="J15" s="181"/>
      <c r="K15" s="499">
        <v>0</v>
      </c>
      <c r="L15" s="181"/>
      <c r="M15" s="499">
        <v>0</v>
      </c>
      <c r="N15" s="181"/>
      <c r="O15" s="499">
        <v>0</v>
      </c>
      <c r="P15" s="181"/>
      <c r="Q15" s="499">
        <v>0</v>
      </c>
      <c r="R15" s="181"/>
      <c r="S15" s="499">
        <v>0</v>
      </c>
      <c r="T15" s="181"/>
      <c r="U15" s="499">
        <v>0</v>
      </c>
      <c r="V15" s="181"/>
      <c r="W15" s="499">
        <v>0</v>
      </c>
      <c r="X15" s="181"/>
      <c r="Y15" s="499">
        <v>0</v>
      </c>
      <c r="Z15" s="354"/>
      <c r="AA15" s="354"/>
      <c r="AB15" s="354"/>
    </row>
    <row r="16" spans="1:28">
      <c r="A16" s="354">
        <f t="shared" si="0"/>
        <v>7</v>
      </c>
      <c r="B16" s="354" t="s">
        <v>751</v>
      </c>
      <c r="C16" s="528" t="str">
        <f>"(Appendix A, Line "&amp;'Appendix A'!A197&amp;")"</f>
        <v>(Appendix A, Line 111)</v>
      </c>
      <c r="D16" s="354"/>
      <c r="E16" s="354"/>
      <c r="F16" s="354"/>
      <c r="G16" s="510">
        <f>+'Appendix A'!$H$197</f>
        <v>0.53280934240323374</v>
      </c>
      <c r="H16" s="181"/>
      <c r="I16" s="510">
        <f>+'Appendix A'!$H$197</f>
        <v>0.53280934240323374</v>
      </c>
      <c r="J16" s="181"/>
      <c r="K16" s="510">
        <f>+'Appendix A'!$H$197</f>
        <v>0.53280934240323374</v>
      </c>
      <c r="L16" s="181"/>
      <c r="M16" s="510">
        <f>+'Appendix A'!$H$197</f>
        <v>0.53280934240323374</v>
      </c>
      <c r="N16" s="181"/>
      <c r="O16" s="510">
        <f>+'Appendix A'!$H$197</f>
        <v>0.53280934240323374</v>
      </c>
      <c r="P16" s="181"/>
      <c r="Q16" s="510">
        <f>+'Appendix A'!$H$197</f>
        <v>0.53280934240323374</v>
      </c>
      <c r="R16" s="181"/>
      <c r="S16" s="510">
        <f>+'Appendix A'!$H$197</f>
        <v>0.53280934240323374</v>
      </c>
      <c r="T16" s="181"/>
      <c r="U16" s="510">
        <f>+'Appendix A'!$H$197</f>
        <v>0.53280934240323374</v>
      </c>
      <c r="V16" s="181"/>
      <c r="W16" s="510">
        <f>+'Appendix A'!$H$197</f>
        <v>0.53280934240323374</v>
      </c>
      <c r="X16" s="181"/>
      <c r="Y16" s="510">
        <f>+'Appendix A'!$H$197</f>
        <v>0.53280934240323374</v>
      </c>
      <c r="Z16" s="354"/>
      <c r="AA16" s="354"/>
      <c r="AB16" s="354"/>
    </row>
    <row r="17" spans="1:28">
      <c r="A17" s="354">
        <f t="shared" si="0"/>
        <v>8</v>
      </c>
      <c r="B17" s="354" t="s">
        <v>154</v>
      </c>
      <c r="C17" s="528" t="str">
        <f>"(Appendix A, Line "&amp;'Appendix A'!A217&amp;")"</f>
        <v>(Appendix A, Line 126)</v>
      </c>
      <c r="D17" s="354"/>
      <c r="E17" s="456"/>
      <c r="F17" s="456"/>
      <c r="G17" s="511">
        <f>+'Appendix A'!$H$217</f>
        <v>1.2892878231922251</v>
      </c>
      <c r="H17" s="509"/>
      <c r="I17" s="511">
        <f>+'Appendix A'!$H$217</f>
        <v>1.2892878231922251</v>
      </c>
      <c r="J17" s="509"/>
      <c r="K17" s="511">
        <f>+'Appendix A'!$H$217</f>
        <v>1.2892878231922251</v>
      </c>
      <c r="L17" s="509"/>
      <c r="M17" s="511">
        <f>+'Appendix A'!$H$217</f>
        <v>1.2892878231922251</v>
      </c>
      <c r="N17" s="509"/>
      <c r="O17" s="511">
        <f>+'Appendix A'!$H$217</f>
        <v>1.2892878231922251</v>
      </c>
      <c r="P17" s="509"/>
      <c r="Q17" s="511">
        <f>+'Appendix A'!$H$217</f>
        <v>1.2892878231922251</v>
      </c>
      <c r="R17" s="509"/>
      <c r="S17" s="511">
        <f>+'Appendix A'!$H$217</f>
        <v>1.2892878231922251</v>
      </c>
      <c r="T17" s="509"/>
      <c r="U17" s="511">
        <f>+'Appendix A'!$H$217</f>
        <v>1.2892878231922251</v>
      </c>
      <c r="V17" s="509"/>
      <c r="W17" s="511">
        <f>+'Appendix A'!$H$217</f>
        <v>1.2892878231922251</v>
      </c>
      <c r="X17" s="509"/>
      <c r="Y17" s="511">
        <f>+'Appendix A'!$H$217</f>
        <v>1.2892878231922251</v>
      </c>
      <c r="Z17" s="354"/>
      <c r="AA17" s="354"/>
      <c r="AB17" s="354"/>
    </row>
    <row r="18" spans="1:28" ht="25.5">
      <c r="A18" s="354">
        <f t="shared" si="0"/>
        <v>9</v>
      </c>
      <c r="B18" s="354" t="s">
        <v>752</v>
      </c>
      <c r="C18" s="495" t="str">
        <f>"(Line "&amp;A14&amp;" * Line "&amp;A15&amp;" * Line "&amp;A16&amp;" * Line "&amp;A17&amp;" )"</f>
        <v>(Line 5 * Line 6 * Line 7 * Line 8 )</v>
      </c>
      <c r="D18" s="354"/>
      <c r="E18" s="613">
        <f>+SUM(G18:Y18)</f>
        <v>0</v>
      </c>
      <c r="F18" s="613"/>
      <c r="G18" s="615">
        <f>+G14*G15*G16*G17</f>
        <v>0</v>
      </c>
      <c r="H18" s="616"/>
      <c r="I18" s="615">
        <f>+I14*I15*I16*I17</f>
        <v>0</v>
      </c>
      <c r="J18" s="616"/>
      <c r="K18" s="615">
        <f>+K14*K15*K16*K17</f>
        <v>0</v>
      </c>
      <c r="L18" s="616"/>
      <c r="M18" s="615">
        <f>+M14*M15*M16*M17</f>
        <v>0</v>
      </c>
      <c r="N18" s="616"/>
      <c r="O18" s="615">
        <f>+O14*O15*O16*O17</f>
        <v>0</v>
      </c>
      <c r="P18" s="616"/>
      <c r="Q18" s="615">
        <f>+Q14*Q15*Q16*Q17</f>
        <v>0</v>
      </c>
      <c r="R18" s="616"/>
      <c r="S18" s="615">
        <f>+S14*S15*S16*S17</f>
        <v>0</v>
      </c>
      <c r="T18" s="616"/>
      <c r="U18" s="615">
        <f>+U14*U15*U16*U17</f>
        <v>0</v>
      </c>
      <c r="V18" s="616"/>
      <c r="W18" s="615">
        <f>+W14*W15*W16*W17</f>
        <v>0</v>
      </c>
      <c r="X18" s="616"/>
      <c r="Y18" s="615">
        <f>+Y14*Y15*Y16*Y17</f>
        <v>0</v>
      </c>
      <c r="Z18" s="354"/>
      <c r="AA18" s="354"/>
      <c r="AB18" s="354"/>
    </row>
    <row r="19" spans="1:28">
      <c r="A19" s="354"/>
      <c r="B19" s="354"/>
      <c r="C19" s="354"/>
      <c r="D19" s="354"/>
      <c r="E19" s="354"/>
      <c r="F19" s="354"/>
      <c r="G19" s="510"/>
      <c r="H19" s="181"/>
      <c r="I19" s="510"/>
      <c r="J19" s="181"/>
      <c r="K19" s="510"/>
      <c r="L19" s="181"/>
      <c r="M19" s="510"/>
      <c r="N19" s="181"/>
      <c r="O19" s="510"/>
      <c r="P19" s="181"/>
      <c r="Q19" s="510"/>
      <c r="R19" s="181"/>
      <c r="S19" s="510"/>
      <c r="T19" s="181"/>
      <c r="U19" s="510"/>
      <c r="V19" s="181"/>
      <c r="W19" s="510"/>
      <c r="X19" s="181"/>
      <c r="Y19" s="510"/>
      <c r="Z19" s="354"/>
      <c r="AA19" s="354"/>
      <c r="AB19" s="354"/>
    </row>
    <row r="20" spans="1:28" ht="25.5">
      <c r="A20" s="354"/>
      <c r="B20" s="495" t="s">
        <v>753</v>
      </c>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row>
    <row r="21" spans="1:28">
      <c r="A21" s="354"/>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row>
    <row r="22" spans="1:28">
      <c r="A22" s="354"/>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row>
    <row r="23" spans="1:28">
      <c r="A23" s="354"/>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row>
    <row r="24" spans="1:28">
      <c r="A24" s="354"/>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row>
    <row r="25" spans="1:28">
      <c r="A25" s="354"/>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row>
    <row r="26" spans="1:28">
      <c r="A26" s="354"/>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row>
    <row r="27" spans="1:28">
      <c r="A27" s="354"/>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row>
    <row r="28" spans="1:28">
      <c r="A28" s="354"/>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row>
    <row r="29" spans="1:28">
      <c r="A29" s="354"/>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row>
    <row r="30" spans="1:28">
      <c r="A30" s="354"/>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row>
    <row r="31" spans="1:28">
      <c r="A31" s="354"/>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row>
    <row r="32" spans="1:28">
      <c r="A32" s="354"/>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row>
    <row r="33" spans="1:28">
      <c r="A33" s="354"/>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row>
    <row r="34" spans="1:28">
      <c r="A34" s="354"/>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row>
    <row r="35" spans="1:28">
      <c r="A35" s="354"/>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row>
    <row r="36" spans="1:28">
      <c r="A36" s="354"/>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row>
    <row r="37" spans="1:28">
      <c r="A37" s="354"/>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row>
    <row r="38" spans="1:28">
      <c r="A38" s="354"/>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row>
    <row r="39" spans="1:28">
      <c r="A39" s="354"/>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row>
    <row r="40" spans="1:28">
      <c r="A40" s="354"/>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row>
    <row r="41" spans="1:28">
      <c r="A41" s="354"/>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row>
    <row r="42" spans="1:28">
      <c r="A42" s="354"/>
      <c r="B42" s="354"/>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row>
    <row r="43" spans="1:28">
      <c r="A43" s="354"/>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row>
    <row r="44" spans="1:28">
      <c r="A44" s="354"/>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row>
    <row r="45" spans="1:28">
      <c r="A45" s="354"/>
      <c r="B45" s="354"/>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row>
    <row r="46" spans="1:28">
      <c r="A46" s="354"/>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row>
    <row r="47" spans="1:28">
      <c r="A47" s="354"/>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row>
    <row r="48" spans="1:28">
      <c r="A48" s="354"/>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row>
    <row r="49" spans="1:28">
      <c r="A49" s="354"/>
      <c r="B49" s="354"/>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row>
    <row r="50" spans="1:28">
      <c r="A50" s="354"/>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row>
    <row r="51" spans="1:28">
      <c r="A51" s="354"/>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row>
    <row r="52" spans="1:28">
      <c r="A52" s="354"/>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row>
    <row r="53" spans="1:28">
      <c r="A53" s="354"/>
      <c r="B53" s="354"/>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row>
    <row r="54" spans="1:28">
      <c r="A54" s="354"/>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row>
    <row r="55" spans="1:28">
      <c r="A55" s="354"/>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row>
    <row r="56" spans="1:28">
      <c r="A56" s="354"/>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row>
    <row r="57" spans="1:28">
      <c r="A57" s="354"/>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row>
    <row r="58" spans="1:28">
      <c r="A58" s="354"/>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row>
    <row r="59" spans="1:28">
      <c r="A59" s="354"/>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row>
    <row r="60" spans="1:28">
      <c r="A60" s="354"/>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row>
    <row r="61" spans="1:28">
      <c r="A61" s="354"/>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row>
    <row r="62" spans="1:28">
      <c r="A62" s="354"/>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row>
  </sheetData>
  <pageMargins left="0.7" right="0.7" top="0.75" bottom="0.75" header="0.3" footer="0.3"/>
  <pageSetup scale="50" orientation="landscape" verticalDpi="0"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pageSetUpPr fitToPage="1"/>
  </sheetPr>
  <dimension ref="A1:Y100"/>
  <sheetViews>
    <sheetView topLeftCell="A14" zoomScaleNormal="100" zoomScaleSheetLayoutView="80" workbookViewId="0">
      <selection activeCell="G26" sqref="G26"/>
    </sheetView>
  </sheetViews>
  <sheetFormatPr defaultRowHeight="12.75"/>
  <cols>
    <col min="1" max="1" width="5.5703125" customWidth="1"/>
    <col min="2" max="2" width="35.5703125" customWidth="1"/>
    <col min="3" max="3" width="17.140625" customWidth="1"/>
    <col min="4" max="4" width="11.7109375" customWidth="1"/>
    <col min="5" max="5" width="13.28515625" customWidth="1"/>
    <col min="6" max="6" width="6" customWidth="1"/>
    <col min="7" max="7" width="17.5703125" customWidth="1"/>
    <col min="8" max="8" width="4.7109375" customWidth="1"/>
    <col min="9" max="9" width="12.5703125" customWidth="1"/>
    <col min="10" max="10" width="4.85546875" customWidth="1"/>
    <col min="11" max="11" width="12.140625" customWidth="1"/>
    <col min="12" max="12" width="4.85546875" customWidth="1"/>
    <col min="13" max="13" width="10.28515625" customWidth="1"/>
    <col min="14" max="14" width="4.5703125" customWidth="1"/>
    <col min="16" max="16" width="4.28515625" customWidth="1"/>
    <col min="18" max="18" width="3.7109375" customWidth="1"/>
    <col min="20" max="20" width="4.7109375" customWidth="1"/>
    <col min="22" max="22" width="4.7109375" customWidth="1"/>
    <col min="24" max="24" width="4.5703125" customWidth="1"/>
    <col min="25" max="25" width="14.28515625" customWidth="1"/>
  </cols>
  <sheetData>
    <row r="1" spans="1:25" ht="18">
      <c r="K1" s="178" t="str">
        <f>+'7A - Project ROE Adder'!J1</f>
        <v>Dayton Power and Light</v>
      </c>
    </row>
    <row r="2" spans="1:25" ht="18">
      <c r="K2" s="178" t="str">
        <f>+'7A - Project ROE Adder'!J2</f>
        <v xml:space="preserve">ATTACHMENT H-15A </v>
      </c>
    </row>
    <row r="3" spans="1:25" ht="18">
      <c r="K3" s="178" t="s">
        <v>1015</v>
      </c>
      <c r="Y3" s="627"/>
    </row>
    <row r="5" spans="1:25" ht="15">
      <c r="B5" s="45" t="s">
        <v>411</v>
      </c>
    </row>
    <row r="6" spans="1:25" ht="15.75">
      <c r="A6" s="69"/>
      <c r="B6" s="78" t="s">
        <v>754</v>
      </c>
      <c r="C6" s="192"/>
      <c r="D6" s="69"/>
      <c r="E6" s="192"/>
      <c r="F6" s="354"/>
      <c r="G6" s="192"/>
      <c r="H6" s="192"/>
      <c r="I6" s="192"/>
      <c r="J6" s="500"/>
      <c r="K6" s="501"/>
      <c r="L6" s="192"/>
      <c r="M6" s="192"/>
      <c r="N6" s="180"/>
      <c r="O6" s="180"/>
      <c r="P6" s="180"/>
      <c r="Q6" s="354"/>
      <c r="R6" s="354"/>
      <c r="S6" s="354"/>
      <c r="T6" s="354"/>
      <c r="U6" s="354"/>
      <c r="V6" s="354"/>
      <c r="W6" s="354"/>
      <c r="X6" s="354"/>
      <c r="Y6" s="354"/>
    </row>
    <row r="7" spans="1:25">
      <c r="A7" s="354"/>
      <c r="B7" s="354"/>
      <c r="C7" s="354"/>
      <c r="D7" s="354"/>
      <c r="E7" s="354"/>
      <c r="F7" s="354"/>
      <c r="G7" s="769" t="s">
        <v>739</v>
      </c>
      <c r="H7" s="354"/>
      <c r="I7" s="769" t="s">
        <v>740</v>
      </c>
      <c r="J7" s="354"/>
      <c r="K7" s="769" t="s">
        <v>741</v>
      </c>
      <c r="L7" s="354"/>
      <c r="M7" s="769" t="s">
        <v>742</v>
      </c>
      <c r="N7" s="354"/>
      <c r="O7" s="769" t="s">
        <v>743</v>
      </c>
      <c r="P7" s="354"/>
      <c r="Q7" s="769" t="s">
        <v>744</v>
      </c>
      <c r="R7" s="354"/>
      <c r="S7" s="769" t="s">
        <v>745</v>
      </c>
      <c r="T7" s="354"/>
      <c r="U7" s="769" t="s">
        <v>746</v>
      </c>
      <c r="V7" s="354"/>
      <c r="W7" s="769" t="s">
        <v>747</v>
      </c>
      <c r="X7" s="354"/>
      <c r="Y7" s="769" t="s">
        <v>748</v>
      </c>
    </row>
    <row r="8" spans="1:25" ht="51">
      <c r="A8" s="455" t="s">
        <v>735</v>
      </c>
      <c r="B8" s="354"/>
      <c r="C8" s="354"/>
      <c r="D8" s="354"/>
      <c r="E8" s="493" t="s">
        <v>67</v>
      </c>
      <c r="F8" s="354"/>
      <c r="G8" s="506" t="s">
        <v>755</v>
      </c>
      <c r="H8" s="354"/>
      <c r="I8" s="494" t="s">
        <v>749</v>
      </c>
      <c r="J8" s="354"/>
      <c r="K8" s="494" t="s">
        <v>749</v>
      </c>
      <c r="L8" s="354"/>
      <c r="M8" s="494" t="s">
        <v>749</v>
      </c>
      <c r="N8" s="354"/>
      <c r="O8" s="494" t="s">
        <v>749</v>
      </c>
      <c r="P8" s="354"/>
      <c r="Q8" s="494" t="s">
        <v>749</v>
      </c>
      <c r="R8" s="354"/>
      <c r="S8" s="494" t="s">
        <v>749</v>
      </c>
      <c r="T8" s="354"/>
      <c r="U8" s="494" t="s">
        <v>749</v>
      </c>
      <c r="V8" s="354"/>
      <c r="W8" s="494" t="s">
        <v>749</v>
      </c>
      <c r="X8" s="354"/>
      <c r="Y8" s="494" t="s">
        <v>749</v>
      </c>
    </row>
    <row r="9" spans="1:25">
      <c r="A9" s="354"/>
      <c r="B9" s="354" t="s">
        <v>756</v>
      </c>
      <c r="C9" s="354"/>
      <c r="D9" s="354"/>
      <c r="E9" s="354"/>
      <c r="F9" s="354"/>
      <c r="G9" s="655" t="s">
        <v>757</v>
      </c>
      <c r="H9" s="354"/>
      <c r="I9" s="531"/>
      <c r="J9" s="354"/>
      <c r="K9" s="531"/>
      <c r="L9" s="354"/>
      <c r="M9" s="531"/>
      <c r="N9" s="354"/>
      <c r="O9" s="531"/>
      <c r="P9" s="354"/>
      <c r="Q9" s="531"/>
      <c r="R9" s="354"/>
      <c r="S9" s="531"/>
      <c r="T9" s="354"/>
      <c r="U9" s="531"/>
      <c r="V9" s="354"/>
      <c r="W9" s="531"/>
      <c r="X9" s="354"/>
      <c r="Y9" s="531"/>
    </row>
    <row r="10" spans="1:25">
      <c r="A10" s="354">
        <v>1</v>
      </c>
      <c r="B10" s="354" t="s">
        <v>22</v>
      </c>
      <c r="C10" s="528" t="str">
        <f>"(Attachment 4, Line "&amp;'4 - Cost Support'!A296&amp;" etc.)"</f>
        <v>(Attachment 4, Line 118 etc.)</v>
      </c>
      <c r="D10" s="354"/>
      <c r="E10" s="457"/>
      <c r="F10" s="457"/>
      <c r="G10" s="613">
        <f>+'4 - Cost Support'!T296</f>
        <v>20201422.66</v>
      </c>
      <c r="H10" s="613"/>
      <c r="I10" s="613">
        <f>+'4 - Cost Support'!T301</f>
        <v>0</v>
      </c>
      <c r="J10" s="613"/>
      <c r="K10" s="613">
        <f>+'4 - Cost Support'!T306</f>
        <v>0</v>
      </c>
      <c r="L10" s="613"/>
      <c r="M10" s="613">
        <f>+'4 - Cost Support'!T311</f>
        <v>0</v>
      </c>
      <c r="N10" s="613"/>
      <c r="O10" s="613">
        <f>+'4 - Cost Support'!T316</f>
        <v>0</v>
      </c>
      <c r="P10" s="613"/>
      <c r="Q10" s="613">
        <f>+'4 - Cost Support'!T321</f>
        <v>0</v>
      </c>
      <c r="R10" s="613"/>
      <c r="S10" s="613">
        <f>+'4 - Cost Support'!T326</f>
        <v>0</v>
      </c>
      <c r="T10" s="613"/>
      <c r="U10" s="613">
        <f>+'4 - Cost Support'!T331</f>
        <v>0</v>
      </c>
      <c r="V10" s="613"/>
      <c r="W10" s="613">
        <f>+'4 - Cost Support'!T336</f>
        <v>0</v>
      </c>
      <c r="X10" s="613"/>
      <c r="Y10" s="613">
        <f>+'4 - Cost Support'!T341</f>
        <v>0</v>
      </c>
    </row>
    <row r="11" spans="1:25">
      <c r="A11" s="354">
        <f>+A10+1</f>
        <v>2</v>
      </c>
      <c r="B11" s="456" t="s">
        <v>31</v>
      </c>
      <c r="C11" s="529" t="str">
        <f>"(Attachment 4, Line "&amp;'4 - Cost Support'!A297&amp;" etc.)"</f>
        <v>(Attachment 4, Line 119 etc.)</v>
      </c>
      <c r="D11" s="456"/>
      <c r="E11" s="497"/>
      <c r="F11" s="497"/>
      <c r="G11" s="614">
        <f>+'4 - Cost Support'!T297</f>
        <v>824802.65000000049</v>
      </c>
      <c r="H11" s="614"/>
      <c r="I11" s="614">
        <f>+'4 - Cost Support'!T302</f>
        <v>0</v>
      </c>
      <c r="J11" s="614"/>
      <c r="K11" s="614">
        <f>+'4 - Cost Support'!T307</f>
        <v>0</v>
      </c>
      <c r="L11" s="614"/>
      <c r="M11" s="614">
        <f>+'4 - Cost Support'!T312</f>
        <v>0</v>
      </c>
      <c r="N11" s="614"/>
      <c r="O11" s="614">
        <f>+'4 - Cost Support'!T317</f>
        <v>0</v>
      </c>
      <c r="P11" s="614"/>
      <c r="Q11" s="614">
        <f>+'4 - Cost Support'!T322</f>
        <v>0</v>
      </c>
      <c r="R11" s="614"/>
      <c r="S11" s="614">
        <f>+'4 - Cost Support'!T327</f>
        <v>0</v>
      </c>
      <c r="T11" s="614"/>
      <c r="U11" s="614">
        <f>+'4 - Cost Support'!T332</f>
        <v>0</v>
      </c>
      <c r="V11" s="614"/>
      <c r="W11" s="614">
        <f>+'4 - Cost Support'!T337</f>
        <v>0</v>
      </c>
      <c r="X11" s="614"/>
      <c r="Y11" s="614">
        <f>+'4 - Cost Support'!T342</f>
        <v>0</v>
      </c>
    </row>
    <row r="12" spans="1:25">
      <c r="A12" s="354">
        <f>+A11+1</f>
        <v>3</v>
      </c>
      <c r="B12" s="354" t="s">
        <v>16</v>
      </c>
      <c r="C12" s="354" t="str">
        <f>"(Line "&amp;A10&amp;" + "&amp;A11&amp;")"</f>
        <v>(Line 1 + 2)</v>
      </c>
      <c r="D12" s="354"/>
      <c r="E12" s="457"/>
      <c r="F12" s="457"/>
      <c r="G12" s="613">
        <f>+G10-G11</f>
        <v>19376620.009999998</v>
      </c>
      <c r="H12" s="613"/>
      <c r="I12" s="613">
        <f>+I10-I11</f>
        <v>0</v>
      </c>
      <c r="J12" s="613"/>
      <c r="K12" s="613">
        <f>+K10-K11</f>
        <v>0</v>
      </c>
      <c r="L12" s="613"/>
      <c r="M12" s="613">
        <f>+M10-M11</f>
        <v>0</v>
      </c>
      <c r="N12" s="613"/>
      <c r="O12" s="613">
        <f>+O10-O11</f>
        <v>0</v>
      </c>
      <c r="P12" s="613"/>
      <c r="Q12" s="613">
        <f>+Q10-Q11</f>
        <v>0</v>
      </c>
      <c r="R12" s="613"/>
      <c r="S12" s="613">
        <f>+S10-S11</f>
        <v>0</v>
      </c>
      <c r="T12" s="613"/>
      <c r="U12" s="613">
        <f>+U10-U11</f>
        <v>0</v>
      </c>
      <c r="V12" s="613"/>
      <c r="W12" s="613">
        <f>+W10-W11</f>
        <v>0</v>
      </c>
      <c r="X12" s="613"/>
      <c r="Y12" s="613">
        <f>+Y10-Y11</f>
        <v>0</v>
      </c>
    </row>
    <row r="13" spans="1:25">
      <c r="A13" s="354"/>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row>
    <row r="14" spans="1:25" ht="25.5">
      <c r="A14" s="354">
        <f>+A12+1</f>
        <v>4</v>
      </c>
      <c r="B14" s="507" t="s">
        <v>758</v>
      </c>
      <c r="C14" s="529" t="str">
        <f>"(Appendix A, Line "&amp;'Appendix A'!A275&amp;")"</f>
        <v>(Appendix A, Line 163)</v>
      </c>
      <c r="D14" s="456"/>
      <c r="E14" s="456"/>
      <c r="F14" s="456"/>
      <c r="G14" s="544">
        <f>+'Appendix A'!$H$275</f>
        <v>0.16079268860572027</v>
      </c>
      <c r="H14" s="544"/>
      <c r="I14" s="544">
        <f>+'Appendix A'!$H$275</f>
        <v>0.16079268860572027</v>
      </c>
      <c r="J14" s="544"/>
      <c r="K14" s="544">
        <f>+'Appendix A'!$H$275</f>
        <v>0.16079268860572027</v>
      </c>
      <c r="L14" s="544"/>
      <c r="M14" s="544">
        <f>+'Appendix A'!$H$275</f>
        <v>0.16079268860572027</v>
      </c>
      <c r="N14" s="544"/>
      <c r="O14" s="544">
        <f>+'Appendix A'!$H$275</f>
        <v>0.16079268860572027</v>
      </c>
      <c r="P14" s="544"/>
      <c r="Q14" s="544">
        <f>+'Appendix A'!$H$275</f>
        <v>0.16079268860572027</v>
      </c>
      <c r="R14" s="544"/>
      <c r="S14" s="544">
        <f>+'Appendix A'!$H$275</f>
        <v>0.16079268860572027</v>
      </c>
      <c r="T14" s="544"/>
      <c r="U14" s="544">
        <f>+'Appendix A'!$H$275</f>
        <v>0.16079268860572027</v>
      </c>
      <c r="V14" s="544"/>
      <c r="W14" s="544">
        <f>+'Appendix A'!$H$275</f>
        <v>0.16079268860572027</v>
      </c>
      <c r="X14" s="544"/>
      <c r="Y14" s="544">
        <f>+'Appendix A'!$H$275</f>
        <v>0.16079268860572027</v>
      </c>
    </row>
    <row r="15" spans="1:25" ht="25.5">
      <c r="A15" s="354">
        <f>+A14+1</f>
        <v>5</v>
      </c>
      <c r="B15" s="495" t="s">
        <v>759</v>
      </c>
      <c r="C15" s="354" t="str">
        <f>"(Line "&amp;A12&amp;" * Line "&amp;A14&amp;")"</f>
        <v>(Line 3 * Line 4)</v>
      </c>
      <c r="D15" s="354"/>
      <c r="E15" s="613"/>
      <c r="F15" s="613"/>
      <c r="G15" s="613">
        <f>+G12*G14</f>
        <v>3115618.8274992979</v>
      </c>
      <c r="H15" s="613"/>
      <c r="I15" s="613">
        <f>+I12*I14</f>
        <v>0</v>
      </c>
      <c r="J15" s="613"/>
      <c r="K15" s="613">
        <f>+K12*K14</f>
        <v>0</v>
      </c>
      <c r="L15" s="613"/>
      <c r="M15" s="613">
        <f>+M12*M14</f>
        <v>0</v>
      </c>
      <c r="N15" s="613"/>
      <c r="O15" s="613">
        <f>+O12*O14</f>
        <v>0</v>
      </c>
      <c r="P15" s="613"/>
      <c r="Q15" s="613">
        <f>+Q12*Q14</f>
        <v>0</v>
      </c>
      <c r="R15" s="613"/>
      <c r="S15" s="613">
        <f>+S12*S14</f>
        <v>0</v>
      </c>
      <c r="T15" s="613"/>
      <c r="U15" s="613">
        <f>+U12*U14</f>
        <v>0</v>
      </c>
      <c r="V15" s="613"/>
      <c r="W15" s="613">
        <f>+W12*W14</f>
        <v>0</v>
      </c>
      <c r="X15" s="613"/>
      <c r="Y15" s="613">
        <f>+Y12*Y14</f>
        <v>0</v>
      </c>
    </row>
    <row r="16" spans="1:25">
      <c r="A16">
        <f>+A15+1</f>
        <v>6</v>
      </c>
      <c r="B16" s="354" t="s">
        <v>689</v>
      </c>
      <c r="C16" s="528" t="str">
        <f>"(Attachment 4, Line "&amp;'4 - Cost Support'!A298&amp;" etc.)"</f>
        <v>(Attachment 4, Line 120 etc.)</v>
      </c>
      <c r="E16" s="617"/>
      <c r="F16" s="617"/>
      <c r="G16" s="617">
        <f>+'4 - Cost Support'!T298</f>
        <v>448834.92000000027</v>
      </c>
      <c r="H16" s="617"/>
      <c r="I16" s="617">
        <f>+'4 - Cost Support'!T303</f>
        <v>0</v>
      </c>
      <c r="J16" s="617"/>
      <c r="K16" s="617">
        <f>+'4 - Cost Support'!T308</f>
        <v>0</v>
      </c>
      <c r="L16" s="617"/>
      <c r="M16" s="617">
        <f>+'4 - Cost Support'!T313</f>
        <v>0</v>
      </c>
      <c r="N16" s="617"/>
      <c r="O16" s="617">
        <f>+'4 - Cost Support'!T318</f>
        <v>0</v>
      </c>
      <c r="P16" s="617"/>
      <c r="Q16" s="617">
        <f>+'4 - Cost Support'!T323</f>
        <v>0</v>
      </c>
      <c r="R16" s="617"/>
      <c r="S16" s="617">
        <f>+'4 - Cost Support'!T328</f>
        <v>0</v>
      </c>
      <c r="T16" s="617"/>
      <c r="U16" s="617">
        <f>+'4 - Cost Support'!T333</f>
        <v>0</v>
      </c>
      <c r="V16" s="617"/>
      <c r="W16" s="617">
        <f>+'4 - Cost Support'!T338</f>
        <v>0</v>
      </c>
      <c r="X16" s="617"/>
      <c r="Y16" s="617">
        <f>+'4 - Cost Support'!T343</f>
        <v>0</v>
      </c>
    </row>
    <row r="17" spans="1:25">
      <c r="A17">
        <f>+A16+1</f>
        <v>7</v>
      </c>
      <c r="B17" s="456" t="s">
        <v>760</v>
      </c>
      <c r="C17" s="456" t="s">
        <v>761</v>
      </c>
      <c r="D17" s="508"/>
      <c r="E17" s="618"/>
      <c r="F17" s="618"/>
      <c r="G17" s="619">
        <v>0</v>
      </c>
      <c r="H17" s="618"/>
      <c r="I17" s="619">
        <v>0</v>
      </c>
      <c r="J17" s="618"/>
      <c r="K17" s="619">
        <v>0</v>
      </c>
      <c r="L17" s="618"/>
      <c r="M17" s="619">
        <v>0</v>
      </c>
      <c r="N17" s="618"/>
      <c r="O17" s="619">
        <v>0</v>
      </c>
      <c r="P17" s="618"/>
      <c r="Q17" s="619">
        <v>0</v>
      </c>
      <c r="R17" s="618"/>
      <c r="S17" s="619">
        <v>0</v>
      </c>
      <c r="T17" s="618"/>
      <c r="U17" s="619">
        <v>0</v>
      </c>
      <c r="V17" s="618"/>
      <c r="W17" s="619">
        <v>0</v>
      </c>
      <c r="X17" s="618"/>
      <c r="Y17" s="619">
        <v>0</v>
      </c>
    </row>
    <row r="18" spans="1:25">
      <c r="E18" s="617"/>
      <c r="F18" s="617"/>
      <c r="G18" s="617"/>
      <c r="H18" s="617"/>
      <c r="I18" s="617"/>
      <c r="J18" s="617"/>
      <c r="K18" s="617"/>
      <c r="L18" s="617"/>
      <c r="M18" s="617"/>
      <c r="N18" s="617"/>
      <c r="O18" s="617"/>
      <c r="P18" s="617"/>
      <c r="Q18" s="617"/>
      <c r="R18" s="617"/>
      <c r="S18" s="617"/>
      <c r="T18" s="617"/>
      <c r="U18" s="617"/>
      <c r="V18" s="617"/>
      <c r="W18" s="617"/>
      <c r="X18" s="617"/>
      <c r="Y18" s="617"/>
    </row>
    <row r="19" spans="1:25">
      <c r="A19">
        <f>+A17+1</f>
        <v>8</v>
      </c>
      <c r="B19" s="354" t="s">
        <v>762</v>
      </c>
      <c r="C19" s="354" t="str">
        <f>"(Line "&amp;A15&amp;" + Line "&amp;A16&amp;" + Line "&amp;A17&amp;")"</f>
        <v>(Line 5 + Line 6 + Line 7)</v>
      </c>
      <c r="E19" s="620">
        <f>+SUM(G19:Y19)</f>
        <v>3564453.7474992983</v>
      </c>
      <c r="F19" s="617"/>
      <c r="G19" s="617">
        <f>+G15+G16+ G17</f>
        <v>3564453.7474992983</v>
      </c>
      <c r="H19" s="617"/>
      <c r="I19" s="617">
        <f>+I15+I16+ I17</f>
        <v>0</v>
      </c>
      <c r="J19" s="617"/>
      <c r="K19" s="617">
        <f>+K15+K16+ K17</f>
        <v>0</v>
      </c>
      <c r="L19" s="617"/>
      <c r="M19" s="617">
        <f>+M15+M16+ M17</f>
        <v>0</v>
      </c>
      <c r="N19" s="617"/>
      <c r="O19" s="617">
        <f>+O15+O16+ O17</f>
        <v>0</v>
      </c>
      <c r="P19" s="617"/>
      <c r="Q19" s="617">
        <f>+Q15+Q16+ Q17</f>
        <v>0</v>
      </c>
      <c r="R19" s="617"/>
      <c r="S19" s="617">
        <f>+S15+S16+ S17</f>
        <v>0</v>
      </c>
      <c r="T19" s="617"/>
      <c r="U19" s="617">
        <f>+U15+U16+ U17</f>
        <v>0</v>
      </c>
      <c r="V19" s="617"/>
      <c r="W19" s="617">
        <f>+W15+W16+ W17</f>
        <v>0</v>
      </c>
      <c r="X19" s="617"/>
      <c r="Y19" s="617">
        <f>+Y15+Y16+ Y17</f>
        <v>0</v>
      </c>
    </row>
    <row r="20" spans="1:25">
      <c r="E20" s="617"/>
      <c r="F20" s="617"/>
      <c r="G20" s="617"/>
      <c r="H20" s="617"/>
      <c r="I20" s="617"/>
      <c r="J20" s="617"/>
      <c r="K20" s="617"/>
      <c r="L20" s="617"/>
      <c r="M20" s="617"/>
      <c r="N20" s="617"/>
      <c r="O20" s="617"/>
      <c r="P20" s="617"/>
      <c r="Q20" s="617"/>
      <c r="R20" s="617"/>
      <c r="S20" s="617"/>
      <c r="T20" s="617"/>
      <c r="U20" s="617"/>
      <c r="V20" s="617"/>
      <c r="W20" s="617"/>
      <c r="X20" s="617"/>
      <c r="Y20" s="617"/>
    </row>
    <row r="21" spans="1:25" ht="25.5">
      <c r="A21">
        <f>+A19+1</f>
        <v>9</v>
      </c>
      <c r="B21" s="865" t="s">
        <v>1023</v>
      </c>
      <c r="C21" s="866" t="str">
        <f>"(Attachment 6B, Line "&amp;'6B - Schedule 12 True-Up'!B40&amp;") and below"</f>
        <v>(Attachment 6B, Line E) and below</v>
      </c>
      <c r="E21" s="882">
        <f>+G21+I21</f>
        <v>-1308405.8508489251</v>
      </c>
      <c r="F21" s="617"/>
      <c r="G21" s="867">
        <f>+'6B - Schedule 12 True-Up'!I40+'7B - Schedule 12 Projects'!K39</f>
        <v>-1310789.3045989252</v>
      </c>
      <c r="H21" s="617"/>
      <c r="I21" s="867">
        <f>+I39</f>
        <v>2383.4537499999997</v>
      </c>
      <c r="J21" s="617"/>
      <c r="K21" s="614">
        <f>+K19/$E$19*$E$21</f>
        <v>0</v>
      </c>
      <c r="L21" s="617"/>
      <c r="M21" s="614">
        <f>+M19/$E$19*$E$21</f>
        <v>0</v>
      </c>
      <c r="N21" s="617"/>
      <c r="O21" s="614">
        <f>+O19/$E$19*$E$21</f>
        <v>0</v>
      </c>
      <c r="P21" s="617"/>
      <c r="Q21" s="614">
        <f>+Q19/$E$19*$E$21</f>
        <v>0</v>
      </c>
      <c r="R21" s="617"/>
      <c r="S21" s="614">
        <f>+S19/$E$19*$E$21</f>
        <v>0</v>
      </c>
      <c r="T21" s="617"/>
      <c r="U21" s="614">
        <f>+U19/$E$19*$E$21</f>
        <v>0</v>
      </c>
      <c r="V21" s="617"/>
      <c r="W21" s="614">
        <f>+W19/$E$19*$E$21</f>
        <v>0</v>
      </c>
      <c r="X21" s="617"/>
      <c r="Y21" s="614">
        <f>+Y19/$E$19*$E$21</f>
        <v>0</v>
      </c>
    </row>
    <row r="22" spans="1:25" ht="13.5" thickBot="1">
      <c r="B22" s="354" t="s">
        <v>763</v>
      </c>
      <c r="E22" s="617"/>
      <c r="F22" s="617"/>
      <c r="G22" s="617"/>
      <c r="H22" s="617"/>
      <c r="I22" s="617"/>
      <c r="J22" s="617"/>
      <c r="K22" s="617"/>
      <c r="L22" s="617"/>
      <c r="M22" s="617"/>
      <c r="N22" s="617"/>
      <c r="O22" s="617"/>
      <c r="P22" s="617"/>
      <c r="Q22" s="617"/>
      <c r="R22" s="617"/>
      <c r="S22" s="617"/>
      <c r="T22" s="617"/>
      <c r="U22" s="617"/>
      <c r="V22" s="617"/>
      <c r="W22" s="617"/>
      <c r="X22" s="617"/>
      <c r="Y22" s="617"/>
    </row>
    <row r="23" spans="1:25" ht="13.5" thickBot="1">
      <c r="A23">
        <f>+A21+1</f>
        <v>10</v>
      </c>
      <c r="B23" s="354" t="s">
        <v>764</v>
      </c>
      <c r="C23" s="354" t="str">
        <f>"(Line "&amp;A19&amp;" + Line "&amp;A21&amp;")"</f>
        <v>(Line 8 + Line 9)</v>
      </c>
      <c r="E23" s="620">
        <f>+E19+E21</f>
        <v>2256047.896650373</v>
      </c>
      <c r="F23" s="617"/>
      <c r="G23" s="847">
        <f>+G19+G21</f>
        <v>2253664.4429003731</v>
      </c>
      <c r="H23" s="848"/>
      <c r="I23" s="849">
        <f>+I19+I21</f>
        <v>2383.4537499999997</v>
      </c>
      <c r="J23" s="617"/>
      <c r="K23" s="617">
        <f>+K19+K21</f>
        <v>0</v>
      </c>
      <c r="L23" s="617"/>
      <c r="M23" s="617">
        <f>+M19+M21</f>
        <v>0</v>
      </c>
      <c r="N23" s="617"/>
      <c r="O23" s="617">
        <f>+O19+O21</f>
        <v>0</v>
      </c>
      <c r="P23" s="617"/>
      <c r="Q23" s="617">
        <f>+Q19+Q21</f>
        <v>0</v>
      </c>
      <c r="R23" s="617"/>
      <c r="S23" s="617">
        <f>+S19+S21</f>
        <v>0</v>
      </c>
      <c r="T23" s="617"/>
      <c r="U23" s="617">
        <f>+U19+U21</f>
        <v>0</v>
      </c>
      <c r="V23" s="617"/>
      <c r="W23" s="617">
        <f>+W19+W21</f>
        <v>0</v>
      </c>
      <c r="X23" s="617"/>
      <c r="Y23" s="617">
        <f>+Y19+Y21</f>
        <v>0</v>
      </c>
    </row>
    <row r="24" spans="1:25">
      <c r="B24" s="354" t="s">
        <v>765</v>
      </c>
    </row>
    <row r="25" spans="1:25">
      <c r="B25" s="354"/>
    </row>
    <row r="26" spans="1:25">
      <c r="A26">
        <f>+A23+1</f>
        <v>11</v>
      </c>
      <c r="B26" s="354" t="s">
        <v>766</v>
      </c>
      <c r="G26" s="649">
        <v>9.9299999999999999E-2</v>
      </c>
      <c r="H26" s="650"/>
      <c r="I26" s="649">
        <v>1</v>
      </c>
      <c r="J26" s="650"/>
      <c r="K26" s="649">
        <v>0</v>
      </c>
      <c r="L26" s="650"/>
      <c r="M26" s="649">
        <v>0</v>
      </c>
      <c r="N26" s="650"/>
      <c r="O26" s="649">
        <v>0</v>
      </c>
      <c r="P26" s="650"/>
      <c r="Q26" s="649">
        <v>0</v>
      </c>
      <c r="R26" s="650"/>
      <c r="S26" s="649">
        <v>0</v>
      </c>
      <c r="T26" s="650"/>
      <c r="U26" s="649">
        <v>0</v>
      </c>
      <c r="V26" s="650"/>
      <c r="W26" s="649">
        <v>0</v>
      </c>
      <c r="X26" s="650"/>
      <c r="Y26" s="649">
        <v>0</v>
      </c>
    </row>
    <row r="28" spans="1:25">
      <c r="A28">
        <f>+A26+1</f>
        <v>12</v>
      </c>
      <c r="B28" s="354" t="s">
        <v>767</v>
      </c>
      <c r="C28" s="354" t="str">
        <f>"(Line "&amp;A23&amp;" * Line "&amp;A26&amp;")"</f>
        <v>(Line 10 * Line 11)</v>
      </c>
      <c r="E28" s="620">
        <f>+SUM(G28:Y28)</f>
        <v>226172.33293000705</v>
      </c>
      <c r="G28" s="636">
        <f>+G23*G26</f>
        <v>223788.87918000706</v>
      </c>
      <c r="H28" s="636"/>
      <c r="I28" s="636">
        <f>+I23*I26</f>
        <v>2383.4537499999997</v>
      </c>
      <c r="J28" s="636"/>
      <c r="K28" s="636">
        <f>+K23*K26</f>
        <v>0</v>
      </c>
      <c r="L28" s="636"/>
      <c r="M28" s="636">
        <f>+M23*M26</f>
        <v>0</v>
      </c>
      <c r="N28" s="636"/>
      <c r="O28" s="636">
        <f>+O23*O26</f>
        <v>0</v>
      </c>
      <c r="P28" s="636"/>
      <c r="Q28" s="636">
        <f>+Q23*Q26</f>
        <v>0</v>
      </c>
      <c r="R28" s="636"/>
      <c r="S28" s="636">
        <f>+S23*S26</f>
        <v>0</v>
      </c>
      <c r="T28" s="636"/>
      <c r="U28" s="636">
        <f>+U23*U26</f>
        <v>0</v>
      </c>
      <c r="V28" s="636"/>
      <c r="W28" s="636">
        <f>+W23*W26</f>
        <v>0</v>
      </c>
      <c r="X28" s="636"/>
      <c r="Y28" s="636">
        <f>+Y23*Y26</f>
        <v>0</v>
      </c>
    </row>
    <row r="29" spans="1:25" ht="38.25">
      <c r="G29" s="495" t="s">
        <v>1025</v>
      </c>
      <c r="I29" s="495" t="s">
        <v>1024</v>
      </c>
    </row>
    <row r="32" spans="1:25">
      <c r="B32" t="s">
        <v>768</v>
      </c>
    </row>
    <row r="33" spans="1:13">
      <c r="G33" s="829"/>
      <c r="H33" s="829"/>
      <c r="I33" s="868">
        <v>2020</v>
      </c>
      <c r="J33" s="868"/>
      <c r="K33" s="868">
        <v>2021</v>
      </c>
      <c r="L33" s="829"/>
      <c r="M33" s="869" t="s">
        <v>67</v>
      </c>
    </row>
    <row r="34" spans="1:13">
      <c r="A34" s="829">
        <f>+A28+1</f>
        <v>13</v>
      </c>
      <c r="G34" s="870" t="s">
        <v>194</v>
      </c>
      <c r="H34" s="829"/>
      <c r="I34" s="871">
        <v>1970</v>
      </c>
      <c r="J34" s="829"/>
      <c r="K34" s="872">
        <v>36225</v>
      </c>
      <c r="L34" s="829"/>
      <c r="M34" s="873">
        <f>+I34+K34</f>
        <v>38195</v>
      </c>
    </row>
    <row r="35" spans="1:13">
      <c r="A35" s="829">
        <f>+A34+1</f>
        <v>14</v>
      </c>
      <c r="G35" s="829"/>
      <c r="H35" s="829"/>
      <c r="I35" s="870" t="s">
        <v>991</v>
      </c>
      <c r="J35" s="829"/>
      <c r="K35" s="874">
        <v>1</v>
      </c>
      <c r="L35" s="829"/>
      <c r="M35" s="875"/>
    </row>
    <row r="36" spans="1:13">
      <c r="A36" s="829">
        <f t="shared" ref="A36:A39" si="0">+A35+1</f>
        <v>15</v>
      </c>
      <c r="G36" s="870" t="s">
        <v>721</v>
      </c>
      <c r="H36" s="829"/>
      <c r="I36" s="876">
        <f>+I99</f>
        <v>4.562499999999998E-3</v>
      </c>
      <c r="J36" s="829"/>
      <c r="K36" s="876">
        <f>+I100</f>
        <v>4.806249999999998E-3</v>
      </c>
      <c r="L36" s="829"/>
      <c r="M36" s="829"/>
    </row>
    <row r="37" spans="1:13" ht="25.5">
      <c r="A37" s="829">
        <f t="shared" si="0"/>
        <v>16</v>
      </c>
      <c r="G37" s="865" t="s">
        <v>1020</v>
      </c>
      <c r="H37" s="829"/>
      <c r="I37" s="877">
        <f>+'11 - Corrections'!F26</f>
        <v>46</v>
      </c>
      <c r="J37" s="829"/>
      <c r="K37" s="877">
        <f>+'11 - Corrections'!H26</f>
        <v>36</v>
      </c>
      <c r="L37" s="829"/>
      <c r="M37" s="829"/>
    </row>
    <row r="38" spans="1:13">
      <c r="A38" s="829">
        <f t="shared" si="0"/>
        <v>17</v>
      </c>
      <c r="G38" s="870" t="s">
        <v>1021</v>
      </c>
      <c r="H38" s="829"/>
      <c r="I38" s="878">
        <f>+I34*I36*I37</f>
        <v>413.45374999999984</v>
      </c>
      <c r="J38" s="829"/>
      <c r="K38" s="878">
        <f>+K34*K36*K37</f>
        <v>6267.8306249999978</v>
      </c>
      <c r="L38" s="829"/>
      <c r="M38" s="879">
        <f>+I38+K38</f>
        <v>6681.2843749999975</v>
      </c>
    </row>
    <row r="39" spans="1:13" ht="25.5">
      <c r="A39" s="829">
        <f t="shared" si="0"/>
        <v>18</v>
      </c>
      <c r="G39" s="865" t="s">
        <v>1022</v>
      </c>
      <c r="H39" s="829"/>
      <c r="I39" s="873">
        <f>+I34+I38</f>
        <v>2383.4537499999997</v>
      </c>
      <c r="J39" s="829"/>
      <c r="K39" s="873">
        <f>+K34+K38</f>
        <v>42492.830624999995</v>
      </c>
      <c r="L39" s="829"/>
      <c r="M39" s="873">
        <f>+I39+K39</f>
        <v>44876.284374999996</v>
      </c>
    </row>
    <row r="42" spans="1:13">
      <c r="G42" s="870" t="s">
        <v>988</v>
      </c>
      <c r="H42" s="354"/>
    </row>
    <row r="43" spans="1:13">
      <c r="G43" s="846">
        <v>43952</v>
      </c>
      <c r="I43" s="181">
        <v>4.0000000000000001E-3</v>
      </c>
    </row>
    <row r="44" spans="1:13">
      <c r="G44" s="846">
        <f>+G43+31</f>
        <v>43983</v>
      </c>
      <c r="I44" s="181">
        <v>3.8999999999999998E-3</v>
      </c>
    </row>
    <row r="45" spans="1:13">
      <c r="G45" s="846">
        <f t="shared" ref="G45:G98" si="1">+G44+31</f>
        <v>44014</v>
      </c>
      <c r="I45" s="181">
        <v>2.8999999999999998E-3</v>
      </c>
    </row>
    <row r="46" spans="1:13">
      <c r="G46" s="846">
        <f t="shared" si="1"/>
        <v>44045</v>
      </c>
      <c r="I46" s="181">
        <v>2.8999999999999998E-3</v>
      </c>
    </row>
    <row r="47" spans="1:13">
      <c r="G47" s="846">
        <f t="shared" si="1"/>
        <v>44076</v>
      </c>
      <c r="I47" s="181">
        <v>2.8E-3</v>
      </c>
    </row>
    <row r="48" spans="1:13">
      <c r="G48" s="846">
        <f t="shared" si="1"/>
        <v>44107</v>
      </c>
      <c r="I48" s="181">
        <v>2.8E-3</v>
      </c>
    </row>
    <row r="49" spans="7:9">
      <c r="G49" s="846">
        <f t="shared" si="1"/>
        <v>44138</v>
      </c>
      <c r="I49" s="181">
        <v>2.7000000000000001E-3</v>
      </c>
    </row>
    <row r="50" spans="7:9">
      <c r="G50" s="846">
        <f t="shared" si="1"/>
        <v>44169</v>
      </c>
      <c r="I50" s="181">
        <v>2.8E-3</v>
      </c>
    </row>
    <row r="51" spans="7:9">
      <c r="G51" s="846">
        <f t="shared" si="1"/>
        <v>44200</v>
      </c>
      <c r="I51" s="181">
        <v>2.8E-3</v>
      </c>
    </row>
    <row r="52" spans="7:9">
      <c r="G52" s="846">
        <f t="shared" si="1"/>
        <v>44231</v>
      </c>
      <c r="I52" s="650">
        <v>2.5000000000000001E-3</v>
      </c>
    </row>
    <row r="53" spans="7:9">
      <c r="G53" s="846">
        <f t="shared" si="1"/>
        <v>44262</v>
      </c>
      <c r="I53" s="650">
        <v>2.8E-3</v>
      </c>
    </row>
    <row r="54" spans="7:9">
      <c r="G54" s="846">
        <f t="shared" si="1"/>
        <v>44293</v>
      </c>
      <c r="I54" s="650">
        <v>2.7000000000000001E-3</v>
      </c>
    </row>
    <row r="55" spans="7:9">
      <c r="G55" s="846">
        <f t="shared" si="1"/>
        <v>44324</v>
      </c>
      <c r="I55" s="650">
        <v>2.8E-3</v>
      </c>
    </row>
    <row r="56" spans="7:9">
      <c r="G56" s="846">
        <f t="shared" si="1"/>
        <v>44355</v>
      </c>
      <c r="I56" s="650">
        <v>2.7000000000000001E-3</v>
      </c>
    </row>
    <row r="57" spans="7:9">
      <c r="G57" s="846">
        <f t="shared" si="1"/>
        <v>44386</v>
      </c>
      <c r="I57" s="650">
        <v>2.8E-3</v>
      </c>
    </row>
    <row r="58" spans="7:9">
      <c r="G58" s="846">
        <f t="shared" si="1"/>
        <v>44417</v>
      </c>
      <c r="I58" s="650">
        <v>2.8E-3</v>
      </c>
    </row>
    <row r="59" spans="7:9">
      <c r="G59" s="846">
        <f t="shared" si="1"/>
        <v>44448</v>
      </c>
      <c r="I59" s="650">
        <v>2.7000000000000001E-3</v>
      </c>
    </row>
    <row r="60" spans="7:9">
      <c r="G60" s="846">
        <f t="shared" si="1"/>
        <v>44479</v>
      </c>
      <c r="I60" s="650">
        <v>2.8E-3</v>
      </c>
    </row>
    <row r="61" spans="7:9">
      <c r="G61" s="846">
        <f t="shared" si="1"/>
        <v>44510</v>
      </c>
      <c r="I61" s="650">
        <v>2.7000000000000001E-3</v>
      </c>
    </row>
    <row r="62" spans="7:9">
      <c r="G62" s="846">
        <f t="shared" si="1"/>
        <v>44541</v>
      </c>
      <c r="I62" s="650">
        <v>2.8E-3</v>
      </c>
    </row>
    <row r="63" spans="7:9">
      <c r="G63" s="846">
        <f t="shared" si="1"/>
        <v>44572</v>
      </c>
      <c r="I63" s="650">
        <v>2.8E-3</v>
      </c>
    </row>
    <row r="64" spans="7:9">
      <c r="G64" s="846">
        <f t="shared" si="1"/>
        <v>44603</v>
      </c>
      <c r="I64" s="650">
        <v>2.5000000000000001E-3</v>
      </c>
    </row>
    <row r="65" spans="7:9">
      <c r="G65" s="846">
        <f t="shared" si="1"/>
        <v>44634</v>
      </c>
      <c r="I65" s="650">
        <v>2.8E-3</v>
      </c>
    </row>
    <row r="66" spans="7:9">
      <c r="G66" s="846">
        <f t="shared" si="1"/>
        <v>44665</v>
      </c>
      <c r="I66" s="650">
        <v>2.7000000000000001E-3</v>
      </c>
    </row>
    <row r="67" spans="7:9">
      <c r="G67" s="846">
        <f t="shared" si="1"/>
        <v>44696</v>
      </c>
      <c r="I67" s="650">
        <v>2.8E-3</v>
      </c>
    </row>
    <row r="68" spans="7:9">
      <c r="G68" s="846">
        <f t="shared" si="1"/>
        <v>44727</v>
      </c>
      <c r="I68" s="650">
        <v>2.7000000000000001E-3</v>
      </c>
    </row>
    <row r="69" spans="7:9">
      <c r="G69" s="846">
        <f t="shared" si="1"/>
        <v>44758</v>
      </c>
      <c r="I69" s="650">
        <v>3.0999999999999999E-3</v>
      </c>
    </row>
    <row r="70" spans="7:9">
      <c r="G70" s="846">
        <f>+G69+31</f>
        <v>44789</v>
      </c>
      <c r="I70" s="650">
        <v>3.0999999999999999E-3</v>
      </c>
    </row>
    <row r="71" spans="7:9">
      <c r="G71" s="846">
        <f t="shared" si="1"/>
        <v>44820</v>
      </c>
      <c r="I71" s="650">
        <v>3.0000000000000001E-3</v>
      </c>
    </row>
    <row r="72" spans="7:9">
      <c r="G72" s="846">
        <f t="shared" si="1"/>
        <v>44851</v>
      </c>
      <c r="I72" s="650">
        <v>4.1999999999999997E-3</v>
      </c>
    </row>
    <row r="73" spans="7:9">
      <c r="G73" s="846">
        <f t="shared" si="1"/>
        <v>44882</v>
      </c>
      <c r="I73" s="181">
        <v>4.0000000000000001E-3</v>
      </c>
    </row>
    <row r="74" spans="7:9">
      <c r="G74" s="846">
        <f t="shared" si="1"/>
        <v>44913</v>
      </c>
      <c r="I74" s="650">
        <v>4.1999999999999997E-3</v>
      </c>
    </row>
    <row r="75" spans="7:9">
      <c r="G75" s="846">
        <f t="shared" si="1"/>
        <v>44944</v>
      </c>
      <c r="I75" s="650">
        <v>5.4000000000000003E-3</v>
      </c>
    </row>
    <row r="76" spans="7:9">
      <c r="G76" s="846">
        <f t="shared" si="1"/>
        <v>44975</v>
      </c>
      <c r="I76" s="650">
        <v>4.7999999999999996E-3</v>
      </c>
    </row>
    <row r="77" spans="7:9">
      <c r="G77" s="846">
        <f t="shared" si="1"/>
        <v>45006</v>
      </c>
      <c r="I77" s="650">
        <v>5.4000000000000003E-3</v>
      </c>
    </row>
    <row r="78" spans="7:9">
      <c r="G78" s="846">
        <f t="shared" si="1"/>
        <v>45037</v>
      </c>
      <c r="I78" s="650">
        <v>6.1999999999999998E-3</v>
      </c>
    </row>
    <row r="79" spans="7:9">
      <c r="G79" s="846">
        <f t="shared" si="1"/>
        <v>45068</v>
      </c>
      <c r="I79" s="650">
        <v>6.4000000000000003E-3</v>
      </c>
    </row>
    <row r="80" spans="7:9">
      <c r="G80" s="846">
        <f>+G79+31</f>
        <v>45099</v>
      </c>
      <c r="I80" s="650">
        <v>6.1999999999999998E-3</v>
      </c>
    </row>
    <row r="81" spans="7:9">
      <c r="G81" s="846">
        <f t="shared" si="1"/>
        <v>45130</v>
      </c>
      <c r="I81" s="650">
        <v>6.7999999999999996E-3</v>
      </c>
    </row>
    <row r="82" spans="7:9">
      <c r="G82" s="846">
        <f t="shared" si="1"/>
        <v>45161</v>
      </c>
      <c r="I82" s="650">
        <v>6.7999999999999996E-3</v>
      </c>
    </row>
    <row r="83" spans="7:9">
      <c r="G83" s="846">
        <f t="shared" si="1"/>
        <v>45192</v>
      </c>
      <c r="I83" s="650">
        <v>6.6E-3</v>
      </c>
    </row>
    <row r="84" spans="7:9">
      <c r="G84" s="846">
        <f t="shared" si="1"/>
        <v>45223</v>
      </c>
      <c r="I84" s="650">
        <v>7.1000000000000004E-3</v>
      </c>
    </row>
    <row r="85" spans="7:9">
      <c r="G85" s="846">
        <f t="shared" si="1"/>
        <v>45254</v>
      </c>
      <c r="I85" s="650">
        <v>6.8999999999999999E-3</v>
      </c>
    </row>
    <row r="86" spans="7:9">
      <c r="G86" s="846">
        <f t="shared" si="1"/>
        <v>45285</v>
      </c>
      <c r="I86" s="650">
        <f>+I84</f>
        <v>7.1000000000000004E-3</v>
      </c>
    </row>
    <row r="87" spans="7:9">
      <c r="G87" s="846">
        <f t="shared" si="1"/>
        <v>45316</v>
      </c>
      <c r="I87" s="650">
        <f>+I86</f>
        <v>7.1000000000000004E-3</v>
      </c>
    </row>
    <row r="88" spans="7:9">
      <c r="G88" s="846">
        <f t="shared" si="1"/>
        <v>45347</v>
      </c>
      <c r="I88" s="650">
        <f>+I85</f>
        <v>6.8999999999999999E-3</v>
      </c>
    </row>
    <row r="89" spans="7:9">
      <c r="G89" s="846">
        <f>+G88+31</f>
        <v>45378</v>
      </c>
      <c r="I89" s="650">
        <f>+I87</f>
        <v>7.1000000000000004E-3</v>
      </c>
    </row>
    <row r="90" spans="7:9">
      <c r="G90" s="846">
        <f t="shared" si="1"/>
        <v>45409</v>
      </c>
      <c r="I90" s="650">
        <f>+I85</f>
        <v>6.8999999999999999E-3</v>
      </c>
    </row>
    <row r="91" spans="7:9">
      <c r="G91" s="846">
        <f t="shared" si="1"/>
        <v>45440</v>
      </c>
      <c r="I91" s="650">
        <f>+I89</f>
        <v>7.1000000000000004E-3</v>
      </c>
    </row>
    <row r="92" spans="7:9">
      <c r="G92" s="846">
        <f t="shared" si="1"/>
        <v>45471</v>
      </c>
      <c r="I92" s="650">
        <f>+I90</f>
        <v>6.8999999999999999E-3</v>
      </c>
    </row>
    <row r="93" spans="7:9">
      <c r="G93" s="846">
        <f t="shared" si="1"/>
        <v>45502</v>
      </c>
      <c r="I93" s="650">
        <f>+I91</f>
        <v>7.1000000000000004E-3</v>
      </c>
    </row>
    <row r="94" spans="7:9">
      <c r="G94" s="846">
        <f t="shared" si="1"/>
        <v>45533</v>
      </c>
      <c r="I94" s="650">
        <f>+I93</f>
        <v>7.1000000000000004E-3</v>
      </c>
    </row>
    <row r="95" spans="7:9">
      <c r="G95" s="846">
        <f t="shared" si="1"/>
        <v>45564</v>
      </c>
      <c r="I95" s="650">
        <f>+I92</f>
        <v>6.8999999999999999E-3</v>
      </c>
    </row>
    <row r="96" spans="7:9">
      <c r="G96" s="846">
        <f t="shared" si="1"/>
        <v>45595</v>
      </c>
      <c r="I96" s="650">
        <f>+I94</f>
        <v>7.1000000000000004E-3</v>
      </c>
    </row>
    <row r="97" spans="7:9">
      <c r="G97" s="846">
        <f t="shared" si="1"/>
        <v>45626</v>
      </c>
      <c r="I97" s="650">
        <f>+I95</f>
        <v>6.8999999999999999E-3</v>
      </c>
    </row>
    <row r="98" spans="7:9">
      <c r="G98" s="846">
        <f t="shared" si="1"/>
        <v>45657</v>
      </c>
      <c r="I98" s="650">
        <f>+I96</f>
        <v>7.1000000000000004E-3</v>
      </c>
    </row>
    <row r="99" spans="7:9">
      <c r="G99" s="354" t="s">
        <v>989</v>
      </c>
      <c r="I99" s="650">
        <f>+AVERAGE(I43:I98)</f>
        <v>4.562499999999998E-3</v>
      </c>
    </row>
    <row r="100" spans="7:9">
      <c r="G100" s="354" t="s">
        <v>990</v>
      </c>
      <c r="I100" s="650">
        <f>+AVERAGE(I51:I98)</f>
        <v>4.806249999999998E-3</v>
      </c>
    </row>
  </sheetData>
  <pageMargins left="0.7" right="0.7" top="0.75" bottom="0.75" header="0.3" footer="0.3"/>
  <pageSetup scale="49" orientation="landscape" verticalDpi="0"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pageSetUpPr fitToPage="1"/>
  </sheetPr>
  <dimension ref="A1:G44"/>
  <sheetViews>
    <sheetView zoomScaleNormal="100" zoomScaleSheetLayoutView="80" workbookViewId="0">
      <selection activeCell="B4" sqref="B4"/>
    </sheetView>
  </sheetViews>
  <sheetFormatPr defaultRowHeight="12.75"/>
  <cols>
    <col min="1" max="1" width="40.140625" customWidth="1"/>
    <col min="2" max="2" width="41.7109375" customWidth="1"/>
    <col min="3" max="3" width="17.140625" customWidth="1"/>
    <col min="4" max="4" width="9" style="675" bestFit="1" customWidth="1"/>
    <col min="5" max="5" width="7.140625" bestFit="1" customWidth="1"/>
    <col min="6" max="6" width="19.42578125" customWidth="1"/>
  </cols>
  <sheetData>
    <row r="1" spans="1:7" ht="18">
      <c r="B1" s="771" t="s">
        <v>0</v>
      </c>
    </row>
    <row r="2" spans="1:7" ht="18">
      <c r="B2" s="771" t="str">
        <f>+'Appendix A'!A4</f>
        <v xml:space="preserve">ATTACHMENT H-15A </v>
      </c>
    </row>
    <row r="3" spans="1:7" ht="18">
      <c r="B3" s="771" t="s">
        <v>769</v>
      </c>
    </row>
    <row r="4" spans="1:7" ht="21.75" customHeight="1">
      <c r="B4" s="663">
        <v>45657</v>
      </c>
      <c r="F4" s="627"/>
    </row>
    <row r="6" spans="1:7">
      <c r="A6" s="929"/>
      <c r="B6" s="929"/>
      <c r="C6" s="929"/>
      <c r="D6" s="929"/>
      <c r="E6" s="929"/>
      <c r="F6" s="929"/>
      <c r="G6" s="929"/>
    </row>
    <row r="7" spans="1:7">
      <c r="A7" s="930"/>
      <c r="B7" s="930"/>
      <c r="C7" s="930"/>
      <c r="D7" s="930"/>
      <c r="E7" s="930"/>
      <c r="F7" s="930"/>
      <c r="G7" s="930"/>
    </row>
    <row r="8" spans="1:7">
      <c r="A8" s="354"/>
      <c r="B8" s="354"/>
      <c r="C8" s="181"/>
      <c r="D8" s="676"/>
      <c r="E8" s="354"/>
      <c r="F8" s="354"/>
      <c r="G8" s="354"/>
    </row>
    <row r="9" spans="1:7" ht="15">
      <c r="A9" s="366" t="s">
        <v>494</v>
      </c>
      <c r="B9" s="367" t="s">
        <v>770</v>
      </c>
      <c r="C9" s="367" t="s">
        <v>771</v>
      </c>
      <c r="D9" s="677"/>
      <c r="E9" s="45"/>
      <c r="F9" s="354"/>
      <c r="G9" s="354"/>
    </row>
    <row r="10" spans="1:7" ht="15">
      <c r="A10" s="368"/>
      <c r="B10" s="368"/>
      <c r="C10" s="368"/>
      <c r="D10" s="677"/>
      <c r="E10" s="45"/>
      <c r="F10" s="354"/>
      <c r="G10" s="354"/>
    </row>
    <row r="11" spans="1:7" ht="15.75">
      <c r="A11" s="366" t="s">
        <v>772</v>
      </c>
      <c r="B11" s="369"/>
      <c r="C11" s="370"/>
      <c r="D11" s="677"/>
      <c r="E11" s="45"/>
      <c r="F11" s="354"/>
      <c r="G11" s="354"/>
    </row>
    <row r="12" spans="1:7" ht="15">
      <c r="A12" s="371">
        <v>350</v>
      </c>
      <c r="B12" s="369" t="s">
        <v>773</v>
      </c>
      <c r="C12" s="372" t="s">
        <v>774</v>
      </c>
      <c r="D12" s="677"/>
      <c r="E12" s="45"/>
      <c r="F12" s="354"/>
      <c r="G12" s="354"/>
    </row>
    <row r="13" spans="1:7" ht="15">
      <c r="A13" s="371">
        <v>352</v>
      </c>
      <c r="B13" s="369" t="s">
        <v>775</v>
      </c>
      <c r="C13" s="807">
        <v>1.9199999999999998E-2</v>
      </c>
      <c r="E13" s="45"/>
      <c r="F13" s="354"/>
      <c r="G13" s="354"/>
    </row>
    <row r="14" spans="1:7" ht="15">
      <c r="A14" s="371">
        <v>353</v>
      </c>
      <c r="B14" s="369" t="s">
        <v>776</v>
      </c>
      <c r="C14" s="807">
        <v>2.0899999999999998E-2</v>
      </c>
      <c r="E14" s="373"/>
      <c r="F14" s="354"/>
      <c r="G14" s="354"/>
    </row>
    <row r="15" spans="1:7" ht="15">
      <c r="A15" s="371">
        <v>354</v>
      </c>
      <c r="B15" s="369" t="s">
        <v>777</v>
      </c>
      <c r="C15" s="807">
        <v>1.9199999999999998E-2</v>
      </c>
      <c r="E15" s="373"/>
      <c r="F15" s="354"/>
      <c r="G15" s="354"/>
    </row>
    <row r="16" spans="1:7" ht="15">
      <c r="A16" s="371">
        <v>355</v>
      </c>
      <c r="B16" s="369" t="s">
        <v>778</v>
      </c>
      <c r="C16" s="807">
        <v>2.4500000000000001E-2</v>
      </c>
      <c r="E16" s="373"/>
      <c r="F16" s="354"/>
      <c r="G16" s="354"/>
    </row>
    <row r="17" spans="1:7" ht="15">
      <c r="A17" s="371">
        <v>356</v>
      </c>
      <c r="B17" s="369" t="s">
        <v>779</v>
      </c>
      <c r="C17" s="807">
        <v>2.4500000000000001E-2</v>
      </c>
      <c r="E17" s="373"/>
      <c r="F17" s="354"/>
      <c r="G17" s="354"/>
    </row>
    <row r="18" spans="1:7" ht="15">
      <c r="A18" s="371">
        <v>357</v>
      </c>
      <c r="B18" s="369" t="s">
        <v>780</v>
      </c>
      <c r="C18" s="807">
        <v>1.3299999999999999E-2</v>
      </c>
      <c r="E18" s="373"/>
      <c r="F18" s="354"/>
      <c r="G18" s="354"/>
    </row>
    <row r="19" spans="1:7" ht="15">
      <c r="A19" s="371">
        <v>358</v>
      </c>
      <c r="B19" s="369" t="s">
        <v>781</v>
      </c>
      <c r="C19" s="807">
        <v>1.8200000000000001E-2</v>
      </c>
      <c r="E19" s="373"/>
      <c r="F19" s="354"/>
      <c r="G19" s="354"/>
    </row>
    <row r="20" spans="1:7" ht="15">
      <c r="A20" s="371">
        <v>359</v>
      </c>
      <c r="B20" s="369" t="s">
        <v>782</v>
      </c>
      <c r="C20" s="807">
        <v>1.2500000000000001E-2</v>
      </c>
      <c r="E20" s="373"/>
      <c r="F20" s="354"/>
      <c r="G20" s="354"/>
    </row>
    <row r="21" spans="1:7" ht="15">
      <c r="A21" s="371"/>
      <c r="B21" s="369"/>
      <c r="C21" s="372"/>
      <c r="D21" s="43"/>
      <c r="E21" s="373"/>
      <c r="F21" s="354"/>
      <c r="G21" s="354"/>
    </row>
    <row r="22" spans="1:7" ht="15">
      <c r="A22" s="374" t="s">
        <v>783</v>
      </c>
      <c r="B22" s="369"/>
      <c r="C22" s="375"/>
      <c r="D22" s="43"/>
      <c r="E22" s="373"/>
      <c r="F22" s="354"/>
      <c r="G22" s="354"/>
    </row>
    <row r="23" spans="1:7" ht="15">
      <c r="A23" s="371">
        <v>302</v>
      </c>
      <c r="B23" s="369" t="s">
        <v>784</v>
      </c>
      <c r="C23" s="372" t="s">
        <v>774</v>
      </c>
      <c r="D23" s="43"/>
      <c r="E23" s="373"/>
      <c r="F23" s="354"/>
      <c r="G23" s="354"/>
    </row>
    <row r="24" spans="1:7" ht="15">
      <c r="A24" s="371">
        <v>303</v>
      </c>
      <c r="B24" s="369" t="s">
        <v>785</v>
      </c>
      <c r="C24" s="807">
        <v>0.1429</v>
      </c>
      <c r="D24" s="43"/>
      <c r="E24" s="373"/>
      <c r="F24" s="354"/>
      <c r="G24" s="354"/>
    </row>
    <row r="25" spans="1:7" ht="15">
      <c r="A25" s="371">
        <v>390</v>
      </c>
      <c r="B25" s="376" t="s">
        <v>775</v>
      </c>
      <c r="C25" s="807">
        <v>3.3300000000000003E-2</v>
      </c>
      <c r="D25" s="43"/>
      <c r="E25" s="373"/>
      <c r="F25" s="354"/>
      <c r="G25" s="354"/>
    </row>
    <row r="26" spans="1:7" ht="15">
      <c r="A26" s="697">
        <v>362.1</v>
      </c>
      <c r="B26" s="376" t="s">
        <v>786</v>
      </c>
      <c r="C26" s="807">
        <v>0.04</v>
      </c>
      <c r="D26" s="43"/>
      <c r="E26" s="373"/>
      <c r="F26" s="354"/>
      <c r="G26" s="354"/>
    </row>
    <row r="27" spans="1:7" ht="15">
      <c r="A27" s="697">
        <v>362.1</v>
      </c>
      <c r="B27" s="376" t="s">
        <v>787</v>
      </c>
      <c r="C27" s="807">
        <v>0.1429</v>
      </c>
      <c r="D27" s="43"/>
      <c r="E27" s="373"/>
      <c r="F27" s="354"/>
      <c r="G27" s="354"/>
    </row>
    <row r="28" spans="1:7" ht="15">
      <c r="A28" s="697">
        <v>362.2</v>
      </c>
      <c r="B28" s="376" t="s">
        <v>788</v>
      </c>
      <c r="C28" s="807">
        <v>0.12</v>
      </c>
      <c r="D28" s="43"/>
      <c r="E28" s="373"/>
      <c r="F28" s="354"/>
      <c r="G28" s="354"/>
    </row>
    <row r="29" spans="1:7" ht="15">
      <c r="A29" s="697">
        <v>362.2</v>
      </c>
      <c r="B29" s="376" t="s">
        <v>789</v>
      </c>
      <c r="C29" s="807">
        <v>0.12</v>
      </c>
      <c r="D29" s="43"/>
      <c r="E29" s="373"/>
      <c r="F29" s="354"/>
      <c r="G29" s="354"/>
    </row>
    <row r="30" spans="1:7" ht="15">
      <c r="A30" s="697">
        <v>362.2</v>
      </c>
      <c r="B30" s="376" t="s">
        <v>790</v>
      </c>
      <c r="C30" s="807">
        <v>0.12</v>
      </c>
      <c r="D30" s="43"/>
      <c r="E30" s="373"/>
      <c r="F30" s="354"/>
      <c r="G30" s="354"/>
    </row>
    <row r="31" spans="1:7" ht="15">
      <c r="A31" s="697">
        <v>362.2</v>
      </c>
      <c r="B31" s="376" t="s">
        <v>791</v>
      </c>
      <c r="C31" s="807">
        <v>0.12</v>
      </c>
      <c r="D31" s="43"/>
      <c r="E31" s="373"/>
      <c r="F31" s="354"/>
      <c r="G31" s="354"/>
    </row>
    <row r="32" spans="1:7" ht="15">
      <c r="A32" s="371">
        <v>393</v>
      </c>
      <c r="B32" s="376" t="s">
        <v>792</v>
      </c>
      <c r="C32" s="807">
        <v>3.85E-2</v>
      </c>
      <c r="D32" s="677"/>
      <c r="E32" s="45"/>
      <c r="F32" s="354"/>
      <c r="G32" s="354"/>
    </row>
    <row r="33" spans="1:7" ht="15">
      <c r="A33" s="371">
        <v>394</v>
      </c>
      <c r="B33" s="376" t="s">
        <v>793</v>
      </c>
      <c r="C33" s="807">
        <v>3.6499999999999998E-2</v>
      </c>
      <c r="D33" s="677"/>
      <c r="E33" s="45"/>
      <c r="F33" s="354"/>
      <c r="G33" s="354"/>
    </row>
    <row r="34" spans="1:7" ht="15">
      <c r="A34" s="371">
        <v>395</v>
      </c>
      <c r="B34" s="376" t="s">
        <v>794</v>
      </c>
      <c r="C34" s="807">
        <v>0.04</v>
      </c>
      <c r="D34" s="677"/>
      <c r="E34" s="45"/>
      <c r="F34" s="354"/>
      <c r="G34" s="354"/>
    </row>
    <row r="35" spans="1:7" ht="15">
      <c r="A35" s="371">
        <v>396</v>
      </c>
      <c r="B35" s="376" t="s">
        <v>795</v>
      </c>
      <c r="C35" s="807">
        <v>0.05</v>
      </c>
      <c r="D35" s="677"/>
      <c r="E35" s="45"/>
      <c r="F35" s="354"/>
      <c r="G35" s="354"/>
    </row>
    <row r="36" spans="1:7" ht="15">
      <c r="A36" s="697">
        <v>362.7</v>
      </c>
      <c r="B36" s="369" t="s">
        <v>796</v>
      </c>
      <c r="C36" s="807">
        <v>0.05</v>
      </c>
      <c r="D36" s="677"/>
      <c r="E36" s="45"/>
      <c r="F36" s="354"/>
      <c r="G36" s="354"/>
    </row>
    <row r="37" spans="1:7" ht="15">
      <c r="A37" s="371">
        <v>398</v>
      </c>
      <c r="B37" s="376" t="s">
        <v>797</v>
      </c>
      <c r="C37" s="807">
        <v>6.25E-2</v>
      </c>
      <c r="D37" s="677"/>
      <c r="E37" s="45"/>
      <c r="F37" s="354"/>
      <c r="G37" s="354"/>
    </row>
    <row r="38" spans="1:7" ht="15">
      <c r="A38" s="369"/>
      <c r="B38" s="369"/>
      <c r="C38" s="369"/>
      <c r="D38" s="678"/>
      <c r="E38" s="377"/>
      <c r="F38" s="354"/>
      <c r="G38" s="354"/>
    </row>
    <row r="39" spans="1:7" ht="15">
      <c r="A39" s="378" t="s">
        <v>798</v>
      </c>
      <c r="B39" s="369"/>
      <c r="C39" s="369"/>
      <c r="D39" s="678"/>
      <c r="E39" s="369"/>
      <c r="F39" s="45"/>
      <c r="G39" s="45"/>
    </row>
    <row r="40" spans="1:7" ht="15">
      <c r="A40" s="369" t="s">
        <v>799</v>
      </c>
      <c r="B40" s="369"/>
      <c r="C40" s="369"/>
      <c r="D40" s="678"/>
      <c r="E40" s="369"/>
      <c r="F40" s="45"/>
      <c r="G40" s="45"/>
    </row>
    <row r="41" spans="1:7" ht="14.25">
      <c r="A41" s="360"/>
      <c r="B41" s="358"/>
      <c r="C41" s="359"/>
      <c r="D41" s="679"/>
      <c r="E41" s="361"/>
      <c r="F41" s="354"/>
      <c r="G41" s="354"/>
    </row>
    <row r="42" spans="1:7" ht="14.25">
      <c r="A42" s="360"/>
      <c r="B42" s="362"/>
      <c r="C42" s="358"/>
      <c r="D42" s="680"/>
      <c r="E42" s="361"/>
      <c r="F42" s="354"/>
      <c r="G42" s="354"/>
    </row>
    <row r="43" spans="1:7" ht="14.25">
      <c r="A43" s="931"/>
      <c r="B43" s="932"/>
      <c r="C43" s="932"/>
      <c r="D43" s="676"/>
      <c r="E43" s="354"/>
      <c r="F43" s="354"/>
      <c r="G43" s="354"/>
    </row>
    <row r="44" spans="1:7" ht="14.25">
      <c r="A44" s="363"/>
      <c r="B44" s="770"/>
      <c r="C44" s="364"/>
      <c r="D44" s="676"/>
      <c r="E44" s="354"/>
      <c r="F44" s="354"/>
      <c r="G44" s="354"/>
    </row>
  </sheetData>
  <mergeCells count="3">
    <mergeCell ref="A6:G6"/>
    <mergeCell ref="A7:G7"/>
    <mergeCell ref="A43:C43"/>
  </mergeCells>
  <phoneticPr fontId="188" type="noConversion"/>
  <pageMargins left="0.7" right="0.7" top="0.75" bottom="0.75" header="0.3" footer="0.3"/>
  <pageSetup scale="76" orientation="landscape" verticalDpi="0"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pageSetUpPr fitToPage="1"/>
  </sheetPr>
  <dimension ref="A2:AA81"/>
  <sheetViews>
    <sheetView zoomScale="70" zoomScaleNormal="70" zoomScaleSheetLayoutView="80" workbookViewId="0">
      <pane xSplit="2" ySplit="10" topLeftCell="G26" activePane="bottomRight" state="frozen"/>
      <selection pane="topRight" activeCell="C1" sqref="C1"/>
      <selection pane="bottomLeft" activeCell="A11" sqref="A11"/>
      <selection pane="bottomRight" activeCell="V64" sqref="V64"/>
    </sheetView>
  </sheetViews>
  <sheetFormatPr defaultRowHeight="12.75"/>
  <cols>
    <col min="1" max="1" width="5.140625" customWidth="1"/>
    <col min="2" max="2" width="46" customWidth="1"/>
    <col min="3" max="4" width="29" customWidth="1"/>
    <col min="5" max="7" width="18.140625" customWidth="1"/>
    <col min="8" max="8" width="14.140625" customWidth="1"/>
    <col min="9" max="10" width="16.28515625" customWidth="1"/>
    <col min="11" max="11" width="15.7109375" customWidth="1"/>
    <col min="12" max="12" width="16" customWidth="1"/>
    <col min="13" max="13" width="14.85546875" customWidth="1"/>
    <col min="14" max="14" width="16.7109375" customWidth="1"/>
    <col min="15" max="15" width="14.85546875" customWidth="1"/>
    <col min="16" max="16" width="17.140625" customWidth="1"/>
    <col min="17" max="17" width="13.42578125" customWidth="1"/>
    <col min="18" max="18" width="15.28515625" customWidth="1"/>
    <col min="19" max="19" width="13.5703125" customWidth="1"/>
    <col min="20" max="20" width="15.7109375" customWidth="1"/>
    <col min="21" max="21" width="16.5703125" customWidth="1"/>
    <col min="22" max="22" width="14.28515625" customWidth="1"/>
    <col min="23" max="23" width="13.85546875" customWidth="1"/>
    <col min="24" max="24" width="13.5703125" customWidth="1"/>
    <col min="25" max="25" width="17.140625" customWidth="1"/>
    <col min="26" max="26" width="17.5703125" customWidth="1"/>
  </cols>
  <sheetData>
    <row r="2" spans="1:26" ht="20.25">
      <c r="I2" s="227" t="str">
        <f>+'Appendix A'!A3</f>
        <v>Dayton Power and Light</v>
      </c>
    </row>
    <row r="3" spans="1:26" ht="20.25">
      <c r="I3" s="227" t="str">
        <f>+'Appendix A'!A4</f>
        <v xml:space="preserve">ATTACHMENT H-15A </v>
      </c>
      <c r="P3" s="627"/>
    </row>
    <row r="4" spans="1:26" ht="30" customHeight="1">
      <c r="B4" s="934"/>
      <c r="C4" s="934"/>
      <c r="I4" s="227" t="s">
        <v>1016</v>
      </c>
    </row>
    <row r="5" spans="1:26" ht="20.25">
      <c r="I5" s="227" t="s">
        <v>800</v>
      </c>
    </row>
    <row r="6" spans="1:26" ht="20.25">
      <c r="A6" s="71" t="s">
        <v>411</v>
      </c>
      <c r="I6" s="227"/>
    </row>
    <row r="7" spans="1:26">
      <c r="A7" s="398"/>
      <c r="B7" s="769" t="s">
        <v>801</v>
      </c>
      <c r="C7" s="769" t="s">
        <v>802</v>
      </c>
      <c r="D7" s="769" t="s">
        <v>803</v>
      </c>
      <c r="E7" s="769" t="s">
        <v>804</v>
      </c>
      <c r="F7" s="769" t="s">
        <v>805</v>
      </c>
      <c r="G7" s="769" t="s">
        <v>806</v>
      </c>
      <c r="H7" s="769" t="s">
        <v>807</v>
      </c>
      <c r="I7" s="769" t="s">
        <v>808</v>
      </c>
      <c r="J7" s="769" t="s">
        <v>809</v>
      </c>
      <c r="K7" s="769" t="s">
        <v>810</v>
      </c>
      <c r="L7" s="769" t="s">
        <v>811</v>
      </c>
      <c r="M7" s="769" t="s">
        <v>812</v>
      </c>
      <c r="N7" s="769" t="s">
        <v>813</v>
      </c>
      <c r="O7" s="769" t="s">
        <v>814</v>
      </c>
      <c r="P7" s="769" t="s">
        <v>815</v>
      </c>
      <c r="Q7" s="769" t="s">
        <v>816</v>
      </c>
      <c r="R7" s="769" t="s">
        <v>817</v>
      </c>
      <c r="S7" s="769" t="s">
        <v>818</v>
      </c>
      <c r="T7" s="769" t="s">
        <v>819</v>
      </c>
      <c r="U7" s="769" t="s">
        <v>820</v>
      </c>
      <c r="V7" s="769" t="s">
        <v>821</v>
      </c>
      <c r="W7" s="769" t="s">
        <v>822</v>
      </c>
      <c r="X7" s="769" t="s">
        <v>823</v>
      </c>
      <c r="Y7" s="769" t="s">
        <v>824</v>
      </c>
      <c r="Z7" s="769" t="s">
        <v>825</v>
      </c>
    </row>
    <row r="8" spans="1:26" ht="90">
      <c r="A8" s="52" t="s">
        <v>826</v>
      </c>
      <c r="B8" s="52" t="s">
        <v>770</v>
      </c>
      <c r="C8" s="441" t="s">
        <v>827</v>
      </c>
      <c r="D8" s="441" t="s">
        <v>828</v>
      </c>
      <c r="E8" s="441" t="s">
        <v>829</v>
      </c>
      <c r="F8" s="441" t="s">
        <v>830</v>
      </c>
      <c r="G8" s="441" t="s">
        <v>831</v>
      </c>
      <c r="H8" s="441" t="s">
        <v>832</v>
      </c>
      <c r="I8" s="441" t="s">
        <v>833</v>
      </c>
      <c r="J8" s="441" t="s">
        <v>834</v>
      </c>
      <c r="K8" s="441" t="s">
        <v>835</v>
      </c>
      <c r="L8" s="441" t="s">
        <v>836</v>
      </c>
      <c r="M8" s="441" t="s">
        <v>837</v>
      </c>
      <c r="N8" s="441" t="s">
        <v>838</v>
      </c>
      <c r="O8" s="441" t="s">
        <v>839</v>
      </c>
      <c r="P8" s="441" t="s">
        <v>840</v>
      </c>
      <c r="Q8" s="441" t="s">
        <v>841</v>
      </c>
      <c r="R8" s="441" t="s">
        <v>842</v>
      </c>
      <c r="S8" s="441" t="s">
        <v>843</v>
      </c>
      <c r="T8" s="441" t="s">
        <v>844</v>
      </c>
      <c r="U8" s="441" t="s">
        <v>845</v>
      </c>
      <c r="V8" s="441" t="s">
        <v>846</v>
      </c>
      <c r="W8" s="441" t="s">
        <v>847</v>
      </c>
      <c r="X8" s="441" t="s">
        <v>848</v>
      </c>
      <c r="Y8" s="441" t="s">
        <v>849</v>
      </c>
      <c r="Z8" s="441" t="s">
        <v>850</v>
      </c>
    </row>
    <row r="9" spans="1:26" ht="31.5">
      <c r="A9" s="45"/>
      <c r="B9" s="399" t="s">
        <v>851</v>
      </c>
      <c r="C9" s="58"/>
      <c r="D9" s="58"/>
      <c r="E9" s="685"/>
      <c r="F9" s="685"/>
      <c r="G9" s="685"/>
      <c r="H9" s="685"/>
      <c r="I9" s="685"/>
      <c r="J9" s="685"/>
      <c r="K9" s="685"/>
      <c r="L9" s="685"/>
      <c r="M9" s="685"/>
      <c r="N9" s="685"/>
      <c r="O9" s="685"/>
      <c r="P9" s="685"/>
      <c r="Q9" s="685"/>
      <c r="R9" s="685"/>
      <c r="S9" s="685"/>
      <c r="T9" s="685"/>
      <c r="U9" s="685"/>
      <c r="V9" s="685"/>
      <c r="W9" s="685"/>
      <c r="X9" s="685"/>
      <c r="Y9" s="685"/>
      <c r="Z9" s="685"/>
    </row>
    <row r="10" spans="1:26" ht="15">
      <c r="A10" s="45"/>
      <c r="B10" s="45"/>
      <c r="C10" s="45"/>
      <c r="D10" s="45"/>
      <c r="E10" s="685"/>
      <c r="F10" s="685"/>
      <c r="G10" s="685"/>
      <c r="H10" s="685"/>
      <c r="I10" s="685"/>
      <c r="J10" s="685"/>
      <c r="K10" s="685"/>
      <c r="L10" s="685"/>
      <c r="M10" s="685"/>
      <c r="N10" s="685"/>
      <c r="O10" s="685"/>
      <c r="P10" s="685"/>
      <c r="Q10" s="685"/>
      <c r="R10" s="685"/>
      <c r="S10" s="685"/>
      <c r="T10" s="685"/>
      <c r="U10" s="685"/>
      <c r="V10" s="685"/>
      <c r="W10" s="685"/>
      <c r="X10" s="685"/>
      <c r="Y10" s="685"/>
      <c r="Z10" s="685"/>
    </row>
    <row r="11" spans="1:26" ht="15">
      <c r="A11" s="45"/>
      <c r="B11" s="45" t="s">
        <v>852</v>
      </c>
      <c r="C11" s="45"/>
      <c r="D11" s="45"/>
      <c r="E11" s="685"/>
      <c r="F11" s="685"/>
      <c r="G11" s="685"/>
      <c r="H11" s="685"/>
      <c r="I11" s="685"/>
      <c r="J11" s="685"/>
      <c r="K11" s="685"/>
      <c r="L11" s="685"/>
      <c r="M11" s="685"/>
      <c r="N11" s="685"/>
      <c r="O11" s="685"/>
      <c r="P11" s="685"/>
      <c r="Q11" s="685"/>
      <c r="R11" s="685"/>
      <c r="S11" s="685"/>
      <c r="T11" s="685"/>
      <c r="U11" s="685"/>
      <c r="V11" s="685"/>
      <c r="W11" s="685"/>
      <c r="X11" s="685"/>
      <c r="Y11" s="685"/>
      <c r="Z11" s="685"/>
    </row>
    <row r="12" spans="1:26" ht="15">
      <c r="A12" s="45">
        <v>1</v>
      </c>
      <c r="B12" s="719" t="s">
        <v>853</v>
      </c>
      <c r="C12" s="682">
        <v>639062.5</v>
      </c>
      <c r="D12" s="634">
        <f>+C12*$I$80</f>
        <v>383437.5</v>
      </c>
      <c r="E12" s="634">
        <f>+C12-D12</f>
        <v>255625</v>
      </c>
      <c r="F12" s="682">
        <v>0</v>
      </c>
      <c r="G12" s="634">
        <f>+E12-F12</f>
        <v>255625</v>
      </c>
      <c r="H12" s="724">
        <v>0.14549999999999999</v>
      </c>
      <c r="I12" s="634">
        <f>+G12*H12</f>
        <v>37193.4375</v>
      </c>
      <c r="J12" s="720" t="s">
        <v>854</v>
      </c>
      <c r="K12" s="634">
        <v>0</v>
      </c>
      <c r="L12" s="634">
        <f>+I12-K12</f>
        <v>37193.4375</v>
      </c>
      <c r="M12" s="634">
        <f>+I12/10</f>
        <v>3719.34375</v>
      </c>
      <c r="N12" s="634">
        <f>+L12-M12</f>
        <v>33474.09375</v>
      </c>
      <c r="O12" s="634">
        <f>+I12/10</f>
        <v>3719.34375</v>
      </c>
      <c r="P12" s="634">
        <f>+N12-O12</f>
        <v>29754.75</v>
      </c>
      <c r="Q12" s="634">
        <f>+P12/5</f>
        <v>5950.95</v>
      </c>
      <c r="R12" s="634">
        <f>+P12-Q12</f>
        <v>23803.8</v>
      </c>
      <c r="S12" s="634">
        <f>+$P12/5</f>
        <v>5950.95</v>
      </c>
      <c r="T12" s="634">
        <f>+R12-S12</f>
        <v>17852.849999999999</v>
      </c>
      <c r="U12" s="634">
        <f>+$P12/5</f>
        <v>5950.95</v>
      </c>
      <c r="V12" s="634">
        <f>+T12-U12</f>
        <v>11901.899999999998</v>
      </c>
      <c r="W12" s="634">
        <f>+$P12/5</f>
        <v>5950.95</v>
      </c>
      <c r="X12" s="634">
        <f>+V12-W12</f>
        <v>5950.949999999998</v>
      </c>
      <c r="Y12" s="634">
        <f>+$P12/5</f>
        <v>5950.95</v>
      </c>
      <c r="Z12" s="634">
        <f>+X12-Y12</f>
        <v>0</v>
      </c>
    </row>
    <row r="13" spans="1:26" ht="15">
      <c r="A13" s="45">
        <f>+A12+1</f>
        <v>2</v>
      </c>
      <c r="B13" s="719" t="s">
        <v>855</v>
      </c>
      <c r="C13" s="683">
        <v>4709475</v>
      </c>
      <c r="D13" s="634">
        <f t="shared" ref="D13:D23" si="0">+C13*$I$80</f>
        <v>2825685</v>
      </c>
      <c r="E13" s="634">
        <f t="shared" ref="E13:E23" si="1">+C13-D13</f>
        <v>1883790</v>
      </c>
      <c r="F13" s="683">
        <v>0</v>
      </c>
      <c r="G13" s="634">
        <f t="shared" ref="G13:G23" si="2">+E13-F13</f>
        <v>1883790</v>
      </c>
      <c r="H13" s="724">
        <v>0.14549999999999999</v>
      </c>
      <c r="I13" s="634">
        <f t="shared" ref="I13:I22" si="3">+G13*H13</f>
        <v>274091.44500000001</v>
      </c>
      <c r="J13" s="721" t="s">
        <v>854</v>
      </c>
      <c r="K13" s="635">
        <v>0</v>
      </c>
      <c r="L13" s="342">
        <f t="shared" ref="L13:L23" si="4">+I13-K13</f>
        <v>274091.44500000001</v>
      </c>
      <c r="M13" s="634">
        <f t="shared" ref="M13:M23" si="5">+I13/10</f>
        <v>27409.144500000002</v>
      </c>
      <c r="N13" s="342">
        <f t="shared" ref="N13:N23" si="6">+L13-M13</f>
        <v>246682.30050000001</v>
      </c>
      <c r="O13" s="634">
        <f t="shared" ref="O13:O23" si="7">+I13/10</f>
        <v>27409.144500000002</v>
      </c>
      <c r="P13" s="342">
        <f t="shared" ref="P13:P23" si="8">+N13-O13</f>
        <v>219273.15600000002</v>
      </c>
      <c r="Q13" s="634">
        <f>+P13/5</f>
        <v>43854.631200000003</v>
      </c>
      <c r="R13" s="342">
        <f t="shared" ref="R13:R23" si="9">+P13-Q13</f>
        <v>175418.52480000001</v>
      </c>
      <c r="S13" s="634">
        <f t="shared" ref="S13:Y23" si="10">+$P13/5</f>
        <v>43854.631200000003</v>
      </c>
      <c r="T13" s="342">
        <f t="shared" ref="T13:T23" si="11">+R13-S13</f>
        <v>131563.89360000001</v>
      </c>
      <c r="U13" s="634">
        <f t="shared" si="10"/>
        <v>43854.631200000003</v>
      </c>
      <c r="V13" s="342">
        <f t="shared" ref="V13:V23" si="12">+T13-U13</f>
        <v>87709.262400000007</v>
      </c>
      <c r="W13" s="634">
        <f t="shared" si="10"/>
        <v>43854.631200000003</v>
      </c>
      <c r="X13" s="342">
        <f t="shared" ref="X13:X23" si="13">+V13-W13</f>
        <v>43854.631200000003</v>
      </c>
      <c r="Y13" s="634">
        <f t="shared" si="10"/>
        <v>43854.631200000003</v>
      </c>
      <c r="Z13" s="342">
        <f t="shared" ref="Z13:Z23" si="14">+X13-Y13</f>
        <v>0</v>
      </c>
    </row>
    <row r="14" spans="1:26" ht="15">
      <c r="A14" s="45">
        <f t="shared" ref="A14:A23" si="15">+A13+1</f>
        <v>3</v>
      </c>
      <c r="B14" s="719" t="s">
        <v>856</v>
      </c>
      <c r="C14" s="683">
        <v>936285</v>
      </c>
      <c r="D14" s="634">
        <f t="shared" si="0"/>
        <v>561771</v>
      </c>
      <c r="E14" s="634">
        <f t="shared" si="1"/>
        <v>374514</v>
      </c>
      <c r="F14" s="683">
        <v>0</v>
      </c>
      <c r="G14" s="634">
        <f t="shared" si="2"/>
        <v>374514</v>
      </c>
      <c r="H14" s="724">
        <v>0.14549999999999999</v>
      </c>
      <c r="I14" s="634">
        <f t="shared" si="3"/>
        <v>54491.786999999997</v>
      </c>
      <c r="J14" s="720" t="s">
        <v>854</v>
      </c>
      <c r="K14" s="635">
        <v>0</v>
      </c>
      <c r="L14" s="342">
        <f t="shared" si="4"/>
        <v>54491.786999999997</v>
      </c>
      <c r="M14" s="634">
        <f t="shared" si="5"/>
        <v>5449.1786999999995</v>
      </c>
      <c r="N14" s="342">
        <f t="shared" si="6"/>
        <v>49042.6083</v>
      </c>
      <c r="O14" s="634">
        <f t="shared" si="7"/>
        <v>5449.1786999999995</v>
      </c>
      <c r="P14" s="342">
        <f t="shared" si="8"/>
        <v>43593.429600000003</v>
      </c>
      <c r="Q14" s="634">
        <f t="shared" ref="Q14:Q23" si="16">+P14/5</f>
        <v>8718.6859199999999</v>
      </c>
      <c r="R14" s="342">
        <f t="shared" si="9"/>
        <v>34874.74368</v>
      </c>
      <c r="S14" s="634">
        <f t="shared" si="10"/>
        <v>8718.6859199999999</v>
      </c>
      <c r="T14" s="342">
        <f t="shared" si="11"/>
        <v>26156.05776</v>
      </c>
      <c r="U14" s="634">
        <f t="shared" si="10"/>
        <v>8718.6859199999999</v>
      </c>
      <c r="V14" s="342">
        <f t="shared" si="12"/>
        <v>17437.37184</v>
      </c>
      <c r="W14" s="634">
        <f t="shared" si="10"/>
        <v>8718.6859199999999</v>
      </c>
      <c r="X14" s="342">
        <f t="shared" si="13"/>
        <v>8718.6859199999999</v>
      </c>
      <c r="Y14" s="634">
        <f t="shared" si="10"/>
        <v>8718.6859199999999</v>
      </c>
      <c r="Z14" s="342">
        <f t="shared" si="14"/>
        <v>0</v>
      </c>
    </row>
    <row r="15" spans="1:26" ht="15">
      <c r="A15" s="45">
        <f t="shared" si="15"/>
        <v>4</v>
      </c>
      <c r="B15" s="719" t="s">
        <v>857</v>
      </c>
      <c r="C15" s="683">
        <v>-1766545</v>
      </c>
      <c r="D15" s="634">
        <f t="shared" si="0"/>
        <v>-1059927</v>
      </c>
      <c r="E15" s="634">
        <f t="shared" si="1"/>
        <v>-706618</v>
      </c>
      <c r="F15" s="683">
        <v>0</v>
      </c>
      <c r="G15" s="634">
        <f t="shared" si="2"/>
        <v>-706618</v>
      </c>
      <c r="H15" s="724">
        <v>0.14549999999999999</v>
      </c>
      <c r="I15" s="634">
        <f t="shared" si="3"/>
        <v>-102812.91899999999</v>
      </c>
      <c r="J15" s="721" t="s">
        <v>854</v>
      </c>
      <c r="K15" s="635">
        <v>0</v>
      </c>
      <c r="L15" s="342">
        <f t="shared" si="4"/>
        <v>-102812.91899999999</v>
      </c>
      <c r="M15" s="634">
        <f t="shared" si="5"/>
        <v>-10281.2919</v>
      </c>
      <c r="N15" s="342">
        <f t="shared" si="6"/>
        <v>-92531.627099999998</v>
      </c>
      <c r="O15" s="634">
        <f t="shared" si="7"/>
        <v>-10281.2919</v>
      </c>
      <c r="P15" s="342">
        <f t="shared" si="8"/>
        <v>-82250.335200000001</v>
      </c>
      <c r="Q15" s="634">
        <f t="shared" si="16"/>
        <v>-16450.067040000002</v>
      </c>
      <c r="R15" s="342">
        <f t="shared" si="9"/>
        <v>-65800.268160000007</v>
      </c>
      <c r="S15" s="634">
        <f t="shared" si="10"/>
        <v>-16450.067040000002</v>
      </c>
      <c r="T15" s="342">
        <f t="shared" si="11"/>
        <v>-49350.201120000005</v>
      </c>
      <c r="U15" s="634">
        <f t="shared" si="10"/>
        <v>-16450.067040000002</v>
      </c>
      <c r="V15" s="342">
        <f t="shared" si="12"/>
        <v>-32900.134080000003</v>
      </c>
      <c r="W15" s="634">
        <f t="shared" si="10"/>
        <v>-16450.067040000002</v>
      </c>
      <c r="X15" s="342">
        <f t="shared" si="13"/>
        <v>-16450.067040000002</v>
      </c>
      <c r="Y15" s="634">
        <f t="shared" si="10"/>
        <v>-16450.067040000002</v>
      </c>
      <c r="Z15" s="342">
        <f t="shared" si="14"/>
        <v>0</v>
      </c>
    </row>
    <row r="16" spans="1:26" ht="15">
      <c r="A16" s="45">
        <f t="shared" si="15"/>
        <v>5</v>
      </c>
      <c r="B16" s="719" t="s">
        <v>858</v>
      </c>
      <c r="C16" s="683">
        <v>1458445</v>
      </c>
      <c r="D16" s="634">
        <f t="shared" si="0"/>
        <v>875067</v>
      </c>
      <c r="E16" s="634">
        <f t="shared" si="1"/>
        <v>583378</v>
      </c>
      <c r="F16" s="683">
        <v>0</v>
      </c>
      <c r="G16" s="634">
        <f t="shared" si="2"/>
        <v>583378</v>
      </c>
      <c r="H16" s="724">
        <v>0.14549999999999999</v>
      </c>
      <c r="I16" s="634">
        <f t="shared" si="3"/>
        <v>84881.498999999996</v>
      </c>
      <c r="J16" s="720" t="s">
        <v>854</v>
      </c>
      <c r="K16" s="635">
        <v>0</v>
      </c>
      <c r="L16" s="342">
        <f t="shared" si="4"/>
        <v>84881.498999999996</v>
      </c>
      <c r="M16" s="634">
        <f t="shared" si="5"/>
        <v>8488.1499000000003</v>
      </c>
      <c r="N16" s="342">
        <f t="shared" si="6"/>
        <v>76393.349099999992</v>
      </c>
      <c r="O16" s="634">
        <f t="shared" si="7"/>
        <v>8488.1499000000003</v>
      </c>
      <c r="P16" s="342">
        <f t="shared" si="8"/>
        <v>67905.199199999988</v>
      </c>
      <c r="Q16" s="634">
        <f t="shared" si="16"/>
        <v>13581.039839999998</v>
      </c>
      <c r="R16" s="342">
        <f t="shared" si="9"/>
        <v>54324.159359999991</v>
      </c>
      <c r="S16" s="634">
        <f t="shared" si="10"/>
        <v>13581.039839999998</v>
      </c>
      <c r="T16" s="342">
        <f t="shared" si="11"/>
        <v>40743.119519999993</v>
      </c>
      <c r="U16" s="634">
        <f t="shared" si="10"/>
        <v>13581.039839999998</v>
      </c>
      <c r="V16" s="342">
        <f t="shared" si="12"/>
        <v>27162.079679999995</v>
      </c>
      <c r="W16" s="634">
        <f t="shared" si="10"/>
        <v>13581.039839999998</v>
      </c>
      <c r="X16" s="342">
        <f t="shared" si="13"/>
        <v>13581.039839999998</v>
      </c>
      <c r="Y16" s="634">
        <f t="shared" si="10"/>
        <v>13581.039839999998</v>
      </c>
      <c r="Z16" s="342">
        <f t="shared" si="14"/>
        <v>0</v>
      </c>
    </row>
    <row r="17" spans="1:26" ht="15">
      <c r="A17" s="45">
        <f t="shared" si="15"/>
        <v>6</v>
      </c>
      <c r="B17" s="719" t="s">
        <v>859</v>
      </c>
      <c r="C17" s="683">
        <v>937980</v>
      </c>
      <c r="D17" s="634">
        <f t="shared" si="0"/>
        <v>562788</v>
      </c>
      <c r="E17" s="634">
        <f t="shared" si="1"/>
        <v>375192</v>
      </c>
      <c r="F17" s="683">
        <v>0</v>
      </c>
      <c r="G17" s="634">
        <f t="shared" si="2"/>
        <v>375192</v>
      </c>
      <c r="H17" s="724">
        <v>0.14549999999999999</v>
      </c>
      <c r="I17" s="634">
        <f t="shared" si="3"/>
        <v>54590.435999999994</v>
      </c>
      <c r="J17" s="721" t="s">
        <v>854</v>
      </c>
      <c r="K17" s="635">
        <v>0</v>
      </c>
      <c r="L17" s="342">
        <f t="shared" si="4"/>
        <v>54590.435999999994</v>
      </c>
      <c r="M17" s="634">
        <f t="shared" si="5"/>
        <v>5459.0435999999991</v>
      </c>
      <c r="N17" s="342">
        <f t="shared" si="6"/>
        <v>49131.392399999997</v>
      </c>
      <c r="O17" s="634">
        <f t="shared" si="7"/>
        <v>5459.0435999999991</v>
      </c>
      <c r="P17" s="342">
        <f t="shared" si="8"/>
        <v>43672.3488</v>
      </c>
      <c r="Q17" s="634">
        <f t="shared" si="16"/>
        <v>8734.46976</v>
      </c>
      <c r="R17" s="342">
        <f t="shared" si="9"/>
        <v>34937.87904</v>
      </c>
      <c r="S17" s="634">
        <f t="shared" si="10"/>
        <v>8734.46976</v>
      </c>
      <c r="T17" s="342">
        <f t="shared" si="11"/>
        <v>26203.40928</v>
      </c>
      <c r="U17" s="634">
        <f t="shared" si="10"/>
        <v>8734.46976</v>
      </c>
      <c r="V17" s="342">
        <f t="shared" si="12"/>
        <v>17468.93952</v>
      </c>
      <c r="W17" s="634">
        <f t="shared" si="10"/>
        <v>8734.46976</v>
      </c>
      <c r="X17" s="342">
        <f t="shared" si="13"/>
        <v>8734.46976</v>
      </c>
      <c r="Y17" s="634">
        <f t="shared" si="10"/>
        <v>8734.46976</v>
      </c>
      <c r="Z17" s="342">
        <f t="shared" si="14"/>
        <v>0</v>
      </c>
    </row>
    <row r="18" spans="1:26" ht="15">
      <c r="A18" s="45">
        <f t="shared" si="15"/>
        <v>7</v>
      </c>
      <c r="B18" s="719" t="s">
        <v>860</v>
      </c>
      <c r="C18" s="683">
        <v>1166550</v>
      </c>
      <c r="D18" s="634">
        <f t="shared" si="0"/>
        <v>699930</v>
      </c>
      <c r="E18" s="634">
        <f t="shared" si="1"/>
        <v>466620</v>
      </c>
      <c r="F18" s="683">
        <v>0</v>
      </c>
      <c r="G18" s="634">
        <f t="shared" si="2"/>
        <v>466620</v>
      </c>
      <c r="H18" s="724">
        <v>0.14549999999999999</v>
      </c>
      <c r="I18" s="634">
        <f t="shared" si="3"/>
        <v>67893.209999999992</v>
      </c>
      <c r="J18" s="720" t="s">
        <v>854</v>
      </c>
      <c r="K18" s="635">
        <v>0</v>
      </c>
      <c r="L18" s="342">
        <f t="shared" si="4"/>
        <v>67893.209999999992</v>
      </c>
      <c r="M18" s="634">
        <f t="shared" si="5"/>
        <v>6789.320999999999</v>
      </c>
      <c r="N18" s="342">
        <f t="shared" si="6"/>
        <v>61103.888999999996</v>
      </c>
      <c r="O18" s="634">
        <f t="shared" si="7"/>
        <v>6789.320999999999</v>
      </c>
      <c r="P18" s="342">
        <f t="shared" si="8"/>
        <v>54314.567999999999</v>
      </c>
      <c r="Q18" s="634">
        <f t="shared" si="16"/>
        <v>10862.9136</v>
      </c>
      <c r="R18" s="342">
        <f t="shared" si="9"/>
        <v>43451.654399999999</v>
      </c>
      <c r="S18" s="634">
        <f t="shared" si="10"/>
        <v>10862.9136</v>
      </c>
      <c r="T18" s="342">
        <f t="shared" si="11"/>
        <v>32588.7408</v>
      </c>
      <c r="U18" s="634">
        <f t="shared" si="10"/>
        <v>10862.9136</v>
      </c>
      <c r="V18" s="342">
        <f t="shared" si="12"/>
        <v>21725.8272</v>
      </c>
      <c r="W18" s="634">
        <f t="shared" si="10"/>
        <v>10862.9136</v>
      </c>
      <c r="X18" s="342">
        <f t="shared" si="13"/>
        <v>10862.9136</v>
      </c>
      <c r="Y18" s="634">
        <f t="shared" si="10"/>
        <v>10862.9136</v>
      </c>
      <c r="Z18" s="342">
        <f t="shared" si="14"/>
        <v>0</v>
      </c>
    </row>
    <row r="19" spans="1:26" ht="15">
      <c r="A19" s="45">
        <f t="shared" si="15"/>
        <v>8</v>
      </c>
      <c r="B19" s="719" t="s">
        <v>861</v>
      </c>
      <c r="C19" s="683">
        <v>369007.5</v>
      </c>
      <c r="D19" s="634">
        <f t="shared" si="0"/>
        <v>221404.5</v>
      </c>
      <c r="E19" s="634">
        <f t="shared" si="1"/>
        <v>147603</v>
      </c>
      <c r="F19" s="683">
        <v>0</v>
      </c>
      <c r="G19" s="634">
        <f t="shared" si="2"/>
        <v>147603</v>
      </c>
      <c r="H19" s="724">
        <v>0.14180000000000001</v>
      </c>
      <c r="I19" s="634">
        <f t="shared" si="3"/>
        <v>20930.1054</v>
      </c>
      <c r="J19" s="721" t="s">
        <v>854</v>
      </c>
      <c r="K19" s="635">
        <v>0</v>
      </c>
      <c r="L19" s="342">
        <f t="shared" si="4"/>
        <v>20930.1054</v>
      </c>
      <c r="M19" s="634">
        <f t="shared" si="5"/>
        <v>2093.0105400000002</v>
      </c>
      <c r="N19" s="342">
        <f t="shared" si="6"/>
        <v>18837.094860000001</v>
      </c>
      <c r="O19" s="634">
        <f t="shared" si="7"/>
        <v>2093.0105400000002</v>
      </c>
      <c r="P19" s="342">
        <f t="shared" si="8"/>
        <v>16744.084320000002</v>
      </c>
      <c r="Q19" s="634">
        <f t="shared" si="16"/>
        <v>3348.8168640000004</v>
      </c>
      <c r="R19" s="342">
        <f t="shared" si="9"/>
        <v>13395.267456000001</v>
      </c>
      <c r="S19" s="634">
        <f t="shared" si="10"/>
        <v>3348.8168640000004</v>
      </c>
      <c r="T19" s="342">
        <f t="shared" si="11"/>
        <v>10046.450592000001</v>
      </c>
      <c r="U19" s="634">
        <f t="shared" si="10"/>
        <v>3348.8168640000004</v>
      </c>
      <c r="V19" s="342">
        <f t="shared" si="12"/>
        <v>6697.6337280000007</v>
      </c>
      <c r="W19" s="634">
        <f t="shared" si="10"/>
        <v>3348.8168640000004</v>
      </c>
      <c r="X19" s="342">
        <f t="shared" si="13"/>
        <v>3348.8168640000004</v>
      </c>
      <c r="Y19" s="634">
        <f t="shared" si="10"/>
        <v>3348.8168640000004</v>
      </c>
      <c r="Z19" s="342">
        <f t="shared" si="14"/>
        <v>0</v>
      </c>
    </row>
    <row r="20" spans="1:26" ht="15">
      <c r="A20" s="45">
        <f t="shared" si="15"/>
        <v>9</v>
      </c>
      <c r="B20" s="719" t="s">
        <v>862</v>
      </c>
      <c r="C20" s="683">
        <v>0</v>
      </c>
      <c r="D20" s="634">
        <f t="shared" si="0"/>
        <v>0</v>
      </c>
      <c r="E20" s="634">
        <f t="shared" si="1"/>
        <v>0</v>
      </c>
      <c r="F20" s="683">
        <v>0</v>
      </c>
      <c r="G20" s="634">
        <f t="shared" si="2"/>
        <v>0</v>
      </c>
      <c r="H20" s="724">
        <v>0</v>
      </c>
      <c r="I20" s="634">
        <f t="shared" si="3"/>
        <v>0</v>
      </c>
      <c r="J20" s="720" t="s">
        <v>854</v>
      </c>
      <c r="K20" s="635">
        <v>0</v>
      </c>
      <c r="L20" s="342">
        <f t="shared" si="4"/>
        <v>0</v>
      </c>
      <c r="M20" s="634">
        <f t="shared" si="5"/>
        <v>0</v>
      </c>
      <c r="N20" s="342">
        <f t="shared" si="6"/>
        <v>0</v>
      </c>
      <c r="O20" s="634">
        <f t="shared" si="7"/>
        <v>0</v>
      </c>
      <c r="P20" s="342">
        <f t="shared" si="8"/>
        <v>0</v>
      </c>
      <c r="Q20" s="634">
        <f t="shared" si="16"/>
        <v>0</v>
      </c>
      <c r="R20" s="342">
        <f t="shared" si="9"/>
        <v>0</v>
      </c>
      <c r="S20" s="634">
        <f t="shared" si="10"/>
        <v>0</v>
      </c>
      <c r="T20" s="342">
        <f t="shared" si="11"/>
        <v>0</v>
      </c>
      <c r="U20" s="634">
        <f t="shared" si="10"/>
        <v>0</v>
      </c>
      <c r="V20" s="342">
        <f t="shared" si="12"/>
        <v>0</v>
      </c>
      <c r="W20" s="634">
        <f t="shared" si="10"/>
        <v>0</v>
      </c>
      <c r="X20" s="342">
        <f t="shared" si="13"/>
        <v>0</v>
      </c>
      <c r="Y20" s="634">
        <f t="shared" si="10"/>
        <v>0</v>
      </c>
      <c r="Z20" s="342">
        <f t="shared" si="14"/>
        <v>0</v>
      </c>
    </row>
    <row r="21" spans="1:26" ht="17.45" customHeight="1">
      <c r="A21" s="45">
        <f t="shared" si="15"/>
        <v>10</v>
      </c>
      <c r="B21" s="719" t="s">
        <v>863</v>
      </c>
      <c r="C21" s="683">
        <v>1288335</v>
      </c>
      <c r="D21" s="634">
        <f t="shared" si="0"/>
        <v>773001</v>
      </c>
      <c r="E21" s="634">
        <f t="shared" si="1"/>
        <v>515334</v>
      </c>
      <c r="F21" s="683">
        <v>0</v>
      </c>
      <c r="G21" s="634">
        <f t="shared" si="2"/>
        <v>515334</v>
      </c>
      <c r="H21" s="724">
        <v>0</v>
      </c>
      <c r="I21" s="634">
        <f t="shared" si="3"/>
        <v>0</v>
      </c>
      <c r="J21" s="721" t="s">
        <v>854</v>
      </c>
      <c r="K21" s="635">
        <v>0</v>
      </c>
      <c r="L21" s="342">
        <f t="shared" si="4"/>
        <v>0</v>
      </c>
      <c r="M21" s="634">
        <f t="shared" si="5"/>
        <v>0</v>
      </c>
      <c r="N21" s="342">
        <f t="shared" si="6"/>
        <v>0</v>
      </c>
      <c r="O21" s="634">
        <f t="shared" si="7"/>
        <v>0</v>
      </c>
      <c r="P21" s="342">
        <f t="shared" si="8"/>
        <v>0</v>
      </c>
      <c r="Q21" s="634">
        <f t="shared" si="16"/>
        <v>0</v>
      </c>
      <c r="R21" s="342">
        <f t="shared" si="9"/>
        <v>0</v>
      </c>
      <c r="S21" s="634">
        <f t="shared" si="10"/>
        <v>0</v>
      </c>
      <c r="T21" s="342">
        <f t="shared" si="11"/>
        <v>0</v>
      </c>
      <c r="U21" s="634">
        <f t="shared" si="10"/>
        <v>0</v>
      </c>
      <c r="V21" s="342">
        <f t="shared" si="12"/>
        <v>0</v>
      </c>
      <c r="W21" s="634">
        <f t="shared" si="10"/>
        <v>0</v>
      </c>
      <c r="X21" s="342">
        <f t="shared" si="13"/>
        <v>0</v>
      </c>
      <c r="Y21" s="634">
        <f t="shared" si="10"/>
        <v>0</v>
      </c>
      <c r="Z21" s="342">
        <f t="shared" si="14"/>
        <v>0</v>
      </c>
    </row>
    <row r="22" spans="1:26" ht="15">
      <c r="A22" s="45">
        <f t="shared" si="15"/>
        <v>11</v>
      </c>
      <c r="B22" s="719" t="s">
        <v>864</v>
      </c>
      <c r="C22" s="683">
        <v>-224000</v>
      </c>
      <c r="D22" s="634">
        <f t="shared" si="0"/>
        <v>-134400</v>
      </c>
      <c r="E22" s="634">
        <f t="shared" si="1"/>
        <v>-89600</v>
      </c>
      <c r="F22" s="683">
        <v>0</v>
      </c>
      <c r="G22" s="634">
        <f t="shared" si="2"/>
        <v>-89600</v>
      </c>
      <c r="H22" s="724">
        <v>0.14549999999999999</v>
      </c>
      <c r="I22" s="634">
        <f t="shared" si="3"/>
        <v>-13036.8</v>
      </c>
      <c r="J22" s="720" t="s">
        <v>854</v>
      </c>
      <c r="K22" s="635">
        <v>0</v>
      </c>
      <c r="L22" s="342">
        <f t="shared" si="4"/>
        <v>-13036.8</v>
      </c>
      <c r="M22" s="634">
        <f t="shared" si="5"/>
        <v>-1303.6799999999998</v>
      </c>
      <c r="N22" s="342">
        <f t="shared" si="6"/>
        <v>-11733.119999999999</v>
      </c>
      <c r="O22" s="634">
        <f t="shared" si="7"/>
        <v>-1303.6799999999998</v>
      </c>
      <c r="P22" s="342">
        <f t="shared" si="8"/>
        <v>-10429.439999999999</v>
      </c>
      <c r="Q22" s="634">
        <f t="shared" si="16"/>
        <v>-2085.8879999999999</v>
      </c>
      <c r="R22" s="342">
        <f t="shared" si="9"/>
        <v>-8343.5519999999997</v>
      </c>
      <c r="S22" s="634">
        <f t="shared" si="10"/>
        <v>-2085.8879999999999</v>
      </c>
      <c r="T22" s="342">
        <f t="shared" si="11"/>
        <v>-6257.6639999999998</v>
      </c>
      <c r="U22" s="634">
        <f t="shared" si="10"/>
        <v>-2085.8879999999999</v>
      </c>
      <c r="V22" s="342">
        <f t="shared" si="12"/>
        <v>-4171.7759999999998</v>
      </c>
      <c r="W22" s="634">
        <f t="shared" si="10"/>
        <v>-2085.8879999999999</v>
      </c>
      <c r="X22" s="342">
        <f t="shared" si="13"/>
        <v>-2085.8879999999999</v>
      </c>
      <c r="Y22" s="634">
        <f t="shared" si="10"/>
        <v>-2085.8879999999999</v>
      </c>
      <c r="Z22" s="342">
        <f t="shared" si="14"/>
        <v>0</v>
      </c>
    </row>
    <row r="23" spans="1:26" ht="15">
      <c r="A23" s="45">
        <f t="shared" si="15"/>
        <v>12</v>
      </c>
      <c r="B23" s="719" t="s">
        <v>865</v>
      </c>
      <c r="C23" s="684">
        <v>245590</v>
      </c>
      <c r="D23" s="657">
        <f t="shared" si="0"/>
        <v>147354</v>
      </c>
      <c r="E23" s="657">
        <f t="shared" si="1"/>
        <v>98236</v>
      </c>
      <c r="F23" s="684">
        <v>0</v>
      </c>
      <c r="G23" s="657">
        <f t="shared" si="2"/>
        <v>98236</v>
      </c>
      <c r="H23" s="724" t="s">
        <v>866</v>
      </c>
      <c r="I23" s="656">
        <v>15523</v>
      </c>
      <c r="J23" s="721" t="s">
        <v>854</v>
      </c>
      <c r="K23" s="656">
        <v>0</v>
      </c>
      <c r="L23" s="722">
        <f t="shared" si="4"/>
        <v>15523</v>
      </c>
      <c r="M23" s="657">
        <f t="shared" si="5"/>
        <v>1552.3</v>
      </c>
      <c r="N23" s="722">
        <f t="shared" si="6"/>
        <v>13970.7</v>
      </c>
      <c r="O23" s="657">
        <f t="shared" si="7"/>
        <v>1552.3</v>
      </c>
      <c r="P23" s="722">
        <f t="shared" si="8"/>
        <v>12418.400000000001</v>
      </c>
      <c r="Q23" s="657">
        <f t="shared" si="16"/>
        <v>2483.6800000000003</v>
      </c>
      <c r="R23" s="722">
        <f t="shared" si="9"/>
        <v>9934.7200000000012</v>
      </c>
      <c r="S23" s="657">
        <f t="shared" si="10"/>
        <v>2483.6800000000003</v>
      </c>
      <c r="T23" s="722">
        <f t="shared" si="11"/>
        <v>7451.0400000000009</v>
      </c>
      <c r="U23" s="657">
        <f t="shared" si="10"/>
        <v>2483.6800000000003</v>
      </c>
      <c r="V23" s="722">
        <f t="shared" si="12"/>
        <v>4967.3600000000006</v>
      </c>
      <c r="W23" s="657">
        <f t="shared" si="10"/>
        <v>2483.6800000000003</v>
      </c>
      <c r="X23" s="722">
        <f t="shared" si="13"/>
        <v>2483.6800000000003</v>
      </c>
      <c r="Y23" s="657">
        <f t="shared" si="10"/>
        <v>2483.6800000000003</v>
      </c>
      <c r="Z23" s="722">
        <f t="shared" si="14"/>
        <v>0</v>
      </c>
    </row>
    <row r="24" spans="1:26" ht="15">
      <c r="A24" s="45">
        <f>+A23+1</f>
        <v>13</v>
      </c>
      <c r="B24" s="442" t="s">
        <v>867</v>
      </c>
      <c r="C24" s="621">
        <f>+SUM(C12:C23)</f>
        <v>9760185</v>
      </c>
      <c r="D24" s="621">
        <f>+SUM(D12:D23)</f>
        <v>5856111</v>
      </c>
      <c r="E24" s="621">
        <f>+SUM(E12:E23)</f>
        <v>3904074</v>
      </c>
      <c r="F24" s="621">
        <f>+SUM(F12:F23)</f>
        <v>0</v>
      </c>
      <c r="G24" s="621">
        <f>+SUM(G12:G23)</f>
        <v>3904074</v>
      </c>
      <c r="H24" s="443"/>
      <c r="I24" s="621">
        <f t="shared" ref="I24:Z24" si="17">+SUM(I12:I23)</f>
        <v>493745.2009</v>
      </c>
      <c r="J24" s="621"/>
      <c r="K24" s="621">
        <f t="shared" si="17"/>
        <v>0</v>
      </c>
      <c r="L24" s="621">
        <f t="shared" si="17"/>
        <v>493745.2009</v>
      </c>
      <c r="M24" s="621">
        <f t="shared" si="17"/>
        <v>49374.520089999998</v>
      </c>
      <c r="N24" s="621">
        <f t="shared" si="17"/>
        <v>444370.68081000005</v>
      </c>
      <c r="O24" s="635">
        <f t="shared" si="17"/>
        <v>49374.520089999998</v>
      </c>
      <c r="P24" s="621">
        <f t="shared" si="17"/>
        <v>394996.16071999999</v>
      </c>
      <c r="Q24" s="635">
        <f t="shared" si="17"/>
        <v>78999.23214399998</v>
      </c>
      <c r="R24" s="621">
        <f t="shared" si="17"/>
        <v>315996.92857599992</v>
      </c>
      <c r="S24" s="635">
        <f t="shared" si="17"/>
        <v>78999.23214399998</v>
      </c>
      <c r="T24" s="621">
        <f t="shared" si="17"/>
        <v>236997.69643200003</v>
      </c>
      <c r="U24" s="635">
        <f t="shared" si="17"/>
        <v>78999.23214399998</v>
      </c>
      <c r="V24" s="621">
        <f t="shared" si="17"/>
        <v>157998.46428799996</v>
      </c>
      <c r="W24" s="635">
        <f t="shared" si="17"/>
        <v>78999.23214399998</v>
      </c>
      <c r="X24" s="621">
        <f t="shared" si="17"/>
        <v>78999.23214399998</v>
      </c>
      <c r="Y24" s="635">
        <f t="shared" si="17"/>
        <v>78999.23214399998</v>
      </c>
      <c r="Z24" s="621">
        <f t="shared" si="17"/>
        <v>0</v>
      </c>
    </row>
    <row r="25" spans="1:26" ht="17.25">
      <c r="A25" s="45"/>
      <c r="B25" s="444"/>
      <c r="C25" s="622"/>
      <c r="D25" s="622"/>
      <c r="E25" s="622"/>
      <c r="F25" s="622"/>
      <c r="G25" s="622"/>
      <c r="H25" s="443"/>
      <c r="I25" s="659"/>
      <c r="J25" s="659"/>
      <c r="K25" s="659"/>
      <c r="L25" s="659"/>
      <c r="M25" s="659"/>
      <c r="N25" s="659"/>
      <c r="O25" s="656"/>
      <c r="P25" s="659"/>
      <c r="Q25" s="656"/>
      <c r="R25" s="659"/>
      <c r="S25" s="656"/>
      <c r="T25" s="659"/>
      <c r="U25" s="656"/>
      <c r="V25" s="659"/>
      <c r="W25" s="656"/>
      <c r="X25" s="659"/>
      <c r="Y25" s="656"/>
      <c r="Z25" s="659"/>
    </row>
    <row r="26" spans="1:26" ht="17.25">
      <c r="A26" s="45"/>
      <c r="B26" s="442" t="s">
        <v>868</v>
      </c>
      <c r="C26" s="622"/>
      <c r="D26" s="622"/>
      <c r="E26" s="622"/>
      <c r="F26" s="622"/>
      <c r="G26" s="622"/>
      <c r="H26" s="443"/>
      <c r="I26" s="659"/>
      <c r="J26" s="659"/>
      <c r="K26" s="659"/>
      <c r="L26" s="659"/>
      <c r="M26" s="659"/>
      <c r="N26" s="659"/>
      <c r="O26" s="656"/>
      <c r="P26" s="659"/>
      <c r="Q26" s="656"/>
      <c r="R26" s="659"/>
      <c r="S26" s="656"/>
      <c r="T26" s="659"/>
      <c r="U26" s="656"/>
      <c r="V26" s="659"/>
      <c r="W26" s="656"/>
      <c r="X26" s="659"/>
      <c r="Y26" s="656"/>
      <c r="Z26" s="659"/>
    </row>
    <row r="27" spans="1:26" ht="15">
      <c r="A27" s="45">
        <f>+A24+1</f>
        <v>14</v>
      </c>
      <c r="B27" s="723" t="s">
        <v>869</v>
      </c>
      <c r="C27" s="683">
        <v>0</v>
      </c>
      <c r="D27" s="634">
        <f t="shared" ref="D27:D28" si="18">+C27*$I$80</f>
        <v>0</v>
      </c>
      <c r="E27" s="634">
        <f t="shared" ref="E27:E28" si="19">+C27-D27</f>
        <v>0</v>
      </c>
      <c r="F27" s="683">
        <v>0</v>
      </c>
      <c r="G27" s="634">
        <f>+E27-F27</f>
        <v>0</v>
      </c>
      <c r="H27" s="724">
        <v>0</v>
      </c>
      <c r="I27" s="634">
        <f t="shared" ref="I27" si="20">+G27*H27</f>
        <v>0</v>
      </c>
      <c r="J27" s="683"/>
      <c r="K27" s="621">
        <v>0</v>
      </c>
      <c r="L27" s="342">
        <f>+I27-K27</f>
        <v>0</v>
      </c>
      <c r="M27" s="581">
        <v>0</v>
      </c>
      <c r="N27" s="342">
        <f>+K27-M27</f>
        <v>0</v>
      </c>
      <c r="O27" s="581">
        <v>0</v>
      </c>
      <c r="P27" s="342">
        <f>+M27-O27</f>
        <v>0</v>
      </c>
      <c r="Q27" s="581">
        <v>0</v>
      </c>
      <c r="R27" s="342">
        <f>+O27-Q27</f>
        <v>0</v>
      </c>
      <c r="S27" s="682">
        <v>0</v>
      </c>
      <c r="T27" s="342">
        <f>+Q27-S27</f>
        <v>0</v>
      </c>
      <c r="U27" s="682">
        <v>0</v>
      </c>
      <c r="V27" s="342">
        <f t="shared" ref="V27:V28" si="21">+T27-U27</f>
        <v>0</v>
      </c>
      <c r="W27" s="682">
        <v>0</v>
      </c>
      <c r="X27" s="342">
        <f>+U27-W27</f>
        <v>0</v>
      </c>
      <c r="Y27" s="634">
        <f t="shared" ref="Y27:Y28" si="22">+$P27/5</f>
        <v>0</v>
      </c>
      <c r="Z27" s="342">
        <f>+W27-Y27</f>
        <v>0</v>
      </c>
    </row>
    <row r="28" spans="1:26" ht="15">
      <c r="A28" s="45">
        <f>+A27+1</f>
        <v>15</v>
      </c>
      <c r="B28" s="723" t="s">
        <v>869</v>
      </c>
      <c r="C28" s="684">
        <v>0</v>
      </c>
      <c r="D28" s="657">
        <f t="shared" si="18"/>
        <v>0</v>
      </c>
      <c r="E28" s="657">
        <f t="shared" si="19"/>
        <v>0</v>
      </c>
      <c r="F28" s="684">
        <v>0</v>
      </c>
      <c r="G28" s="657">
        <f>+E28-F28</f>
        <v>0</v>
      </c>
      <c r="H28" s="725" t="s">
        <v>866</v>
      </c>
      <c r="I28" s="656">
        <v>0</v>
      </c>
      <c r="J28" s="683"/>
      <c r="K28" s="659">
        <v>0</v>
      </c>
      <c r="L28" s="722">
        <f>+I28-K28</f>
        <v>0</v>
      </c>
      <c r="M28" s="726">
        <v>0</v>
      </c>
      <c r="N28" s="722">
        <f>+K28-M28</f>
        <v>0</v>
      </c>
      <c r="O28" s="726">
        <v>0</v>
      </c>
      <c r="P28" s="722">
        <f>+M28-O28</f>
        <v>0</v>
      </c>
      <c r="Q28" s="726">
        <v>0</v>
      </c>
      <c r="R28" s="722">
        <f>+O28-Q28</f>
        <v>0</v>
      </c>
      <c r="S28" s="727">
        <v>0</v>
      </c>
      <c r="T28" s="722">
        <f>+Q28-S28</f>
        <v>0</v>
      </c>
      <c r="U28" s="727">
        <v>0</v>
      </c>
      <c r="V28" s="722">
        <f t="shared" si="21"/>
        <v>0</v>
      </c>
      <c r="W28" s="727">
        <v>0</v>
      </c>
      <c r="X28" s="722">
        <f>+U28-W28</f>
        <v>0</v>
      </c>
      <c r="Y28" s="657">
        <f t="shared" si="22"/>
        <v>0</v>
      </c>
      <c r="Z28" s="722">
        <f>+W28-Y28</f>
        <v>0</v>
      </c>
    </row>
    <row r="29" spans="1:26" ht="15">
      <c r="A29" s="45">
        <f>+A28+1</f>
        <v>16</v>
      </c>
      <c r="B29" s="445" t="s">
        <v>870</v>
      </c>
      <c r="C29" s="621">
        <f>+C27+C28</f>
        <v>0</v>
      </c>
      <c r="D29" s="621">
        <f>+D27+D28</f>
        <v>0</v>
      </c>
      <c r="E29" s="621">
        <f>+E27+E28</f>
        <v>0</v>
      </c>
      <c r="F29" s="621">
        <f>+F27+F28</f>
        <v>0</v>
      </c>
      <c r="G29" s="621">
        <f>+G27+G28</f>
        <v>0</v>
      </c>
      <c r="H29" s="36"/>
      <c r="I29" s="621">
        <f>+I27+I28</f>
        <v>0</v>
      </c>
      <c r="J29" s="621"/>
      <c r="K29" s="621">
        <f t="shared" ref="K29:V29" si="23">+K27+K28</f>
        <v>0</v>
      </c>
      <c r="L29" s="342">
        <f t="shared" si="23"/>
        <v>0</v>
      </c>
      <c r="M29" s="342">
        <f t="shared" si="23"/>
        <v>0</v>
      </c>
      <c r="N29" s="342">
        <f t="shared" si="23"/>
        <v>0</v>
      </c>
      <c r="O29" s="342">
        <f t="shared" si="23"/>
        <v>0</v>
      </c>
      <c r="P29" s="342">
        <f t="shared" si="23"/>
        <v>0</v>
      </c>
      <c r="Q29" s="342">
        <f t="shared" si="23"/>
        <v>0</v>
      </c>
      <c r="R29" s="342">
        <f t="shared" si="23"/>
        <v>0</v>
      </c>
      <c r="S29" s="342">
        <f t="shared" si="23"/>
        <v>0</v>
      </c>
      <c r="T29" s="342">
        <f t="shared" si="23"/>
        <v>0</v>
      </c>
      <c r="U29" s="342">
        <f t="shared" si="23"/>
        <v>0</v>
      </c>
      <c r="V29" s="342">
        <f t="shared" si="23"/>
        <v>0</v>
      </c>
      <c r="W29" s="342">
        <f>+W27+W28</f>
        <v>0</v>
      </c>
      <c r="X29" s="342">
        <f>+X27+X28</f>
        <v>0</v>
      </c>
      <c r="Y29" s="342">
        <f>+Y27+Y28</f>
        <v>0</v>
      </c>
      <c r="Z29" s="342">
        <f>+Z27+Z28</f>
        <v>0</v>
      </c>
    </row>
    <row r="30" spans="1:26" ht="15">
      <c r="A30" s="45"/>
      <c r="B30" s="445"/>
      <c r="C30" s="621"/>
      <c r="D30" s="621"/>
      <c r="E30" s="621"/>
      <c r="F30" s="621"/>
      <c r="G30" s="621"/>
      <c r="H30" s="36"/>
      <c r="I30" s="621"/>
      <c r="J30" s="621"/>
      <c r="K30" s="621"/>
      <c r="L30" s="342"/>
      <c r="M30" s="342"/>
      <c r="N30" s="342"/>
      <c r="O30" s="342"/>
      <c r="P30" s="342"/>
      <c r="Q30" s="342"/>
      <c r="R30" s="342"/>
      <c r="S30" s="342"/>
      <c r="T30" s="342"/>
      <c r="U30" s="342"/>
      <c r="V30" s="342"/>
      <c r="W30" s="342"/>
      <c r="X30" s="342"/>
      <c r="Y30" s="342"/>
      <c r="Z30" s="342"/>
    </row>
    <row r="31" spans="1:26" ht="15">
      <c r="A31" s="45"/>
      <c r="B31" s="445" t="s">
        <v>871</v>
      </c>
      <c r="C31" s="621"/>
      <c r="D31" s="621"/>
      <c r="E31" s="621"/>
      <c r="F31" s="621"/>
      <c r="G31" s="621"/>
      <c r="H31" s="36"/>
      <c r="I31" s="621"/>
      <c r="J31" s="621"/>
      <c r="K31" s="621"/>
      <c r="L31" s="342"/>
      <c r="M31" s="342"/>
      <c r="N31" s="342"/>
      <c r="O31" s="342"/>
      <c r="P31" s="342"/>
      <c r="Q31" s="342"/>
      <c r="R31" s="342"/>
      <c r="S31" s="342"/>
      <c r="T31" s="342"/>
      <c r="U31" s="342"/>
      <c r="V31" s="342"/>
      <c r="W31" s="342"/>
      <c r="X31" s="342"/>
      <c r="Y31" s="342"/>
      <c r="Z31" s="342"/>
    </row>
    <row r="32" spans="1:26" ht="15">
      <c r="A32" s="45">
        <f>+A29+1</f>
        <v>17</v>
      </c>
      <c r="B32" s="723" t="s">
        <v>869</v>
      </c>
      <c r="C32" s="635">
        <v>0</v>
      </c>
      <c r="D32" s="634">
        <f t="shared" ref="D32:D35" si="24">+C32*$I$80</f>
        <v>0</v>
      </c>
      <c r="E32" s="634">
        <f t="shared" ref="E32:E35" si="25">+C32-D32</f>
        <v>0</v>
      </c>
      <c r="F32" s="683">
        <v>0</v>
      </c>
      <c r="G32" s="635">
        <f>+E32-F32</f>
        <v>0</v>
      </c>
      <c r="H32" s="724">
        <v>0</v>
      </c>
      <c r="I32" s="634">
        <f t="shared" ref="I32:I34" si="26">+G32*H32</f>
        <v>0</v>
      </c>
      <c r="J32" s="683"/>
      <c r="K32" s="621">
        <v>0</v>
      </c>
      <c r="L32" s="342">
        <f t="shared" ref="L32:L35" si="27">+I32-K32</f>
        <v>0</v>
      </c>
      <c r="M32" s="581">
        <v>0</v>
      </c>
      <c r="N32" s="342">
        <f t="shared" ref="N32:N35" si="28">+L32-M32</f>
        <v>0</v>
      </c>
      <c r="O32" s="581">
        <v>0</v>
      </c>
      <c r="P32" s="342">
        <f t="shared" ref="P32:P35" si="29">+N32-O32</f>
        <v>0</v>
      </c>
      <c r="Q32" s="581">
        <v>0</v>
      </c>
      <c r="R32" s="342">
        <f t="shared" ref="R32:R35" si="30">+P32-Q32</f>
        <v>0</v>
      </c>
      <c r="S32" s="581">
        <v>0</v>
      </c>
      <c r="T32" s="342">
        <f t="shared" ref="T32:T35" si="31">+R32-S32</f>
        <v>0</v>
      </c>
      <c r="U32" s="581">
        <v>0</v>
      </c>
      <c r="V32" s="342">
        <f t="shared" ref="V32:V35" si="32">+T32-U32</f>
        <v>0</v>
      </c>
      <c r="W32" s="581">
        <v>0</v>
      </c>
      <c r="X32" s="342">
        <f t="shared" ref="X32:X35" si="33">+V32-W32</f>
        <v>0</v>
      </c>
      <c r="Y32" s="634">
        <f>+$P32/5</f>
        <v>0</v>
      </c>
      <c r="Z32" s="342">
        <f t="shared" ref="Z32:Z35" si="34">+X32-Y32</f>
        <v>0</v>
      </c>
    </row>
    <row r="33" spans="1:26" ht="15">
      <c r="A33" s="45">
        <f>+A32+1</f>
        <v>18</v>
      </c>
      <c r="B33" s="723" t="s">
        <v>869</v>
      </c>
      <c r="C33" s="635">
        <v>0</v>
      </c>
      <c r="D33" s="634">
        <f t="shared" si="24"/>
        <v>0</v>
      </c>
      <c r="E33" s="634">
        <f t="shared" si="25"/>
        <v>0</v>
      </c>
      <c r="F33" s="683">
        <v>0</v>
      </c>
      <c r="G33" s="635">
        <f t="shared" ref="G33:G35" si="35">+E33-F33</f>
        <v>0</v>
      </c>
      <c r="H33" s="724">
        <v>0</v>
      </c>
      <c r="I33" s="634">
        <f t="shared" si="26"/>
        <v>0</v>
      </c>
      <c r="J33" s="683"/>
      <c r="K33" s="621">
        <v>0</v>
      </c>
      <c r="L33" s="342">
        <f t="shared" si="27"/>
        <v>0</v>
      </c>
      <c r="M33" s="581">
        <v>0</v>
      </c>
      <c r="N33" s="342">
        <f t="shared" si="28"/>
        <v>0</v>
      </c>
      <c r="O33" s="581">
        <v>0</v>
      </c>
      <c r="P33" s="342">
        <f t="shared" si="29"/>
        <v>0</v>
      </c>
      <c r="Q33" s="581">
        <v>0</v>
      </c>
      <c r="R33" s="342">
        <f t="shared" si="30"/>
        <v>0</v>
      </c>
      <c r="S33" s="581">
        <v>0</v>
      </c>
      <c r="T33" s="342">
        <f t="shared" si="31"/>
        <v>0</v>
      </c>
      <c r="U33" s="581">
        <v>0</v>
      </c>
      <c r="V33" s="342">
        <f t="shared" si="32"/>
        <v>0</v>
      </c>
      <c r="W33" s="581">
        <v>0</v>
      </c>
      <c r="X33" s="342">
        <f t="shared" si="33"/>
        <v>0</v>
      </c>
      <c r="Y33" s="634">
        <f t="shared" ref="Y33:Y35" si="36">+$P33/5</f>
        <v>0</v>
      </c>
      <c r="Z33" s="342">
        <f t="shared" si="34"/>
        <v>0</v>
      </c>
    </row>
    <row r="34" spans="1:26" ht="15">
      <c r="A34" s="45">
        <f>+A33+1</f>
        <v>19</v>
      </c>
      <c r="B34" s="723" t="s">
        <v>869</v>
      </c>
      <c r="C34" s="635">
        <v>0</v>
      </c>
      <c r="D34" s="634">
        <f t="shared" si="24"/>
        <v>0</v>
      </c>
      <c r="E34" s="634">
        <f t="shared" si="25"/>
        <v>0</v>
      </c>
      <c r="F34" s="683">
        <v>0</v>
      </c>
      <c r="G34" s="635">
        <f t="shared" si="35"/>
        <v>0</v>
      </c>
      <c r="H34" s="724">
        <v>0</v>
      </c>
      <c r="I34" s="634">
        <f t="shared" si="26"/>
        <v>0</v>
      </c>
      <c r="J34" s="683"/>
      <c r="K34" s="621">
        <v>0</v>
      </c>
      <c r="L34" s="342">
        <f t="shared" si="27"/>
        <v>0</v>
      </c>
      <c r="M34" s="581">
        <v>0</v>
      </c>
      <c r="N34" s="342">
        <f t="shared" si="28"/>
        <v>0</v>
      </c>
      <c r="O34" s="581">
        <v>0</v>
      </c>
      <c r="P34" s="342">
        <f t="shared" si="29"/>
        <v>0</v>
      </c>
      <c r="Q34" s="581">
        <v>0</v>
      </c>
      <c r="R34" s="342">
        <f t="shared" si="30"/>
        <v>0</v>
      </c>
      <c r="S34" s="581">
        <v>0</v>
      </c>
      <c r="T34" s="342">
        <f t="shared" si="31"/>
        <v>0</v>
      </c>
      <c r="U34" s="581">
        <v>0</v>
      </c>
      <c r="V34" s="342">
        <f t="shared" si="32"/>
        <v>0</v>
      </c>
      <c r="W34" s="581">
        <v>0</v>
      </c>
      <c r="X34" s="342">
        <f t="shared" si="33"/>
        <v>0</v>
      </c>
      <c r="Y34" s="634">
        <f t="shared" si="36"/>
        <v>0</v>
      </c>
      <c r="Z34" s="342">
        <f t="shared" si="34"/>
        <v>0</v>
      </c>
    </row>
    <row r="35" spans="1:26" ht="15">
      <c r="A35" s="45">
        <f>+A34+1</f>
        <v>20</v>
      </c>
      <c r="B35" s="723" t="s">
        <v>869</v>
      </c>
      <c r="C35" s="656">
        <v>0</v>
      </c>
      <c r="D35" s="657">
        <f t="shared" si="24"/>
        <v>0</v>
      </c>
      <c r="E35" s="657">
        <f t="shared" si="25"/>
        <v>0</v>
      </c>
      <c r="F35" s="684">
        <v>0</v>
      </c>
      <c r="G35" s="656">
        <f t="shared" si="35"/>
        <v>0</v>
      </c>
      <c r="H35" s="724" t="s">
        <v>866</v>
      </c>
      <c r="I35" s="656">
        <v>0</v>
      </c>
      <c r="J35" s="683"/>
      <c r="K35" s="659">
        <v>0</v>
      </c>
      <c r="L35" s="722">
        <f t="shared" si="27"/>
        <v>0</v>
      </c>
      <c r="M35" s="726">
        <v>0</v>
      </c>
      <c r="N35" s="722">
        <f t="shared" si="28"/>
        <v>0</v>
      </c>
      <c r="O35" s="726">
        <v>0</v>
      </c>
      <c r="P35" s="722">
        <f t="shared" si="29"/>
        <v>0</v>
      </c>
      <c r="Q35" s="726">
        <v>0</v>
      </c>
      <c r="R35" s="722">
        <f t="shared" si="30"/>
        <v>0</v>
      </c>
      <c r="S35" s="726">
        <v>0</v>
      </c>
      <c r="T35" s="722">
        <f t="shared" si="31"/>
        <v>0</v>
      </c>
      <c r="U35" s="726">
        <v>0</v>
      </c>
      <c r="V35" s="722">
        <f t="shared" si="32"/>
        <v>0</v>
      </c>
      <c r="W35" s="726">
        <v>0</v>
      </c>
      <c r="X35" s="722">
        <f t="shared" si="33"/>
        <v>0</v>
      </c>
      <c r="Y35" s="657">
        <f t="shared" si="36"/>
        <v>0</v>
      </c>
      <c r="Z35" s="722">
        <f t="shared" si="34"/>
        <v>0</v>
      </c>
    </row>
    <row r="36" spans="1:26" ht="15">
      <c r="A36" s="45">
        <f>+A35+1</f>
        <v>21</v>
      </c>
      <c r="B36" s="445" t="s">
        <v>872</v>
      </c>
      <c r="C36" s="621">
        <f>+C34+C35</f>
        <v>0</v>
      </c>
      <c r="D36" s="621">
        <f>+D34+D35</f>
        <v>0</v>
      </c>
      <c r="E36" s="621">
        <f>+SUM(E32:E35)</f>
        <v>0</v>
      </c>
      <c r="F36" s="621">
        <f>+SUM(F32:F35)</f>
        <v>0</v>
      </c>
      <c r="G36" s="621">
        <f>+SUM(G32:G35)</f>
        <v>0</v>
      </c>
      <c r="H36" s="443"/>
      <c r="I36" s="621">
        <f>+SUM(I32:I35)</f>
        <v>0</v>
      </c>
      <c r="J36" s="621"/>
      <c r="K36" s="621">
        <f t="shared" ref="K36:Z36" si="37">+SUM(K32:K35)</f>
        <v>0</v>
      </c>
      <c r="L36" s="621">
        <f t="shared" si="37"/>
        <v>0</v>
      </c>
      <c r="M36" s="621">
        <f t="shared" si="37"/>
        <v>0</v>
      </c>
      <c r="N36" s="621">
        <f t="shared" si="37"/>
        <v>0</v>
      </c>
      <c r="O36" s="621">
        <f t="shared" si="37"/>
        <v>0</v>
      </c>
      <c r="P36" s="621">
        <f t="shared" si="37"/>
        <v>0</v>
      </c>
      <c r="Q36" s="621">
        <f t="shared" si="37"/>
        <v>0</v>
      </c>
      <c r="R36" s="621">
        <f t="shared" si="37"/>
        <v>0</v>
      </c>
      <c r="S36" s="621">
        <f t="shared" si="37"/>
        <v>0</v>
      </c>
      <c r="T36" s="621">
        <f t="shared" si="37"/>
        <v>0</v>
      </c>
      <c r="U36" s="621">
        <f t="shared" si="37"/>
        <v>0</v>
      </c>
      <c r="V36" s="621">
        <f t="shared" si="37"/>
        <v>0</v>
      </c>
      <c r="W36" s="621">
        <f t="shared" si="37"/>
        <v>0</v>
      </c>
      <c r="X36" s="621">
        <f t="shared" si="37"/>
        <v>0</v>
      </c>
      <c r="Y36" s="621">
        <f t="shared" si="37"/>
        <v>0</v>
      </c>
      <c r="Z36" s="621">
        <f t="shared" si="37"/>
        <v>0</v>
      </c>
    </row>
    <row r="37" spans="1:26" ht="15">
      <c r="A37" s="45"/>
      <c r="B37" s="445"/>
      <c r="C37" s="445"/>
      <c r="D37" s="445"/>
      <c r="E37" s="621"/>
      <c r="F37" s="621"/>
      <c r="G37" s="621"/>
      <c r="H37" s="443"/>
      <c r="I37" s="621"/>
      <c r="J37" s="621"/>
      <c r="K37" s="621"/>
      <c r="L37" s="342"/>
      <c r="M37" s="342"/>
      <c r="N37" s="342"/>
      <c r="O37" s="342"/>
      <c r="P37" s="342"/>
      <c r="Q37" s="342"/>
      <c r="R37" s="342"/>
      <c r="S37" s="342"/>
      <c r="T37" s="342"/>
      <c r="U37" s="342"/>
      <c r="V37" s="342"/>
      <c r="W37" s="342"/>
      <c r="X37" s="342"/>
      <c r="Y37" s="342"/>
      <c r="Z37" s="342"/>
    </row>
    <row r="38" spans="1:26" ht="30">
      <c r="A38" s="45">
        <f>+A36+1</f>
        <v>22</v>
      </c>
      <c r="B38" s="445" t="s">
        <v>873</v>
      </c>
      <c r="C38" s="445"/>
      <c r="D38" s="445"/>
      <c r="E38" s="621">
        <f>+E24+E29+E36</f>
        <v>3904074</v>
      </c>
      <c r="F38" s="621"/>
      <c r="G38" s="621">
        <f>+G24+G29+G36</f>
        <v>3904074</v>
      </c>
      <c r="H38" s="443"/>
      <c r="I38" s="621">
        <f>+I24+I29+I36</f>
        <v>493745.2009</v>
      </c>
      <c r="J38" s="621"/>
      <c r="K38" s="621">
        <f>+K24+K29+K36</f>
        <v>0</v>
      </c>
      <c r="L38" s="621">
        <f t="shared" ref="L38:Z38" si="38">+L24+L29+L36</f>
        <v>493745.2009</v>
      </c>
      <c r="M38" s="621">
        <f t="shared" si="38"/>
        <v>49374.520089999998</v>
      </c>
      <c r="N38" s="621">
        <f t="shared" si="38"/>
        <v>444370.68081000005</v>
      </c>
      <c r="O38" s="621">
        <f t="shared" si="38"/>
        <v>49374.520089999998</v>
      </c>
      <c r="P38" s="621">
        <f t="shared" si="38"/>
        <v>394996.16071999999</v>
      </c>
      <c r="Q38" s="621">
        <f t="shared" si="38"/>
        <v>78999.23214399998</v>
      </c>
      <c r="R38" s="621">
        <f t="shared" si="38"/>
        <v>315996.92857599992</v>
      </c>
      <c r="S38" s="621">
        <f t="shared" si="38"/>
        <v>78999.23214399998</v>
      </c>
      <c r="T38" s="621">
        <f t="shared" si="38"/>
        <v>236997.69643200003</v>
      </c>
      <c r="U38" s="621">
        <f t="shared" si="38"/>
        <v>78999.23214399998</v>
      </c>
      <c r="V38" s="621">
        <f t="shared" si="38"/>
        <v>157998.46428799996</v>
      </c>
      <c r="W38" s="621">
        <f t="shared" si="38"/>
        <v>78999.23214399998</v>
      </c>
      <c r="X38" s="621">
        <f t="shared" si="38"/>
        <v>78999.23214399998</v>
      </c>
      <c r="Y38" s="621">
        <f t="shared" si="38"/>
        <v>78999.23214399998</v>
      </c>
      <c r="Z38" s="621">
        <f t="shared" si="38"/>
        <v>0</v>
      </c>
    </row>
    <row r="39" spans="1:26" ht="15">
      <c r="A39" s="45">
        <f>+A38+1</f>
        <v>23</v>
      </c>
      <c r="B39" s="445" t="s">
        <v>874</v>
      </c>
      <c r="C39" s="445"/>
      <c r="D39" s="445"/>
      <c r="E39" s="659">
        <v>0</v>
      </c>
      <c r="F39" s="659"/>
      <c r="G39" s="659">
        <v>1037791.82278481</v>
      </c>
      <c r="H39" s="443"/>
      <c r="I39" s="659">
        <v>131248.72428987341</v>
      </c>
      <c r="J39" s="621"/>
      <c r="K39" s="659"/>
      <c r="L39" s="659">
        <v>131248.72428987341</v>
      </c>
      <c r="M39" s="342"/>
      <c r="N39" s="659">
        <v>118123.85186088608</v>
      </c>
      <c r="O39" s="342"/>
      <c r="P39" s="659">
        <v>104998.97943189873</v>
      </c>
      <c r="Q39" s="342"/>
      <c r="R39" s="659">
        <v>83999.183545518958</v>
      </c>
      <c r="S39" s="342"/>
      <c r="T39" s="659">
        <v>62999.38765913924</v>
      </c>
      <c r="U39" s="342"/>
      <c r="V39" s="659">
        <v>96409.913588658193</v>
      </c>
      <c r="W39" s="342"/>
      <c r="X39" s="659">
        <v>20999.795886379739</v>
      </c>
      <c r="Y39" s="342"/>
      <c r="Z39" s="659">
        <v>0</v>
      </c>
    </row>
    <row r="40" spans="1:26" ht="30">
      <c r="A40" s="45">
        <f>+A39+1</f>
        <v>24</v>
      </c>
      <c r="B40" s="445" t="s">
        <v>875</v>
      </c>
      <c r="C40" s="445"/>
      <c r="D40" s="445"/>
      <c r="E40" s="621">
        <f>+E38+E39</f>
        <v>3904074</v>
      </c>
      <c r="F40" s="659"/>
      <c r="G40" s="621">
        <f>+G38+G39</f>
        <v>4941865.8227848103</v>
      </c>
      <c r="H40" s="443"/>
      <c r="I40" s="621">
        <f>+I38+I39</f>
        <v>624993.92518987344</v>
      </c>
      <c r="J40" s="621"/>
      <c r="K40" s="621"/>
      <c r="L40" s="621">
        <f>+L38+L39</f>
        <v>624993.92518987344</v>
      </c>
      <c r="M40" s="342"/>
      <c r="N40" s="621">
        <f>+N38+N39</f>
        <v>562494.53267088614</v>
      </c>
      <c r="O40" s="342"/>
      <c r="P40" s="621">
        <f>+P38+P39</f>
        <v>499995.14015189873</v>
      </c>
      <c r="Q40" s="342"/>
      <c r="R40" s="621">
        <f>+R38+R39</f>
        <v>399996.11212151888</v>
      </c>
      <c r="S40" s="342"/>
      <c r="T40" s="621">
        <f>+T38+T39</f>
        <v>299997.08409113926</v>
      </c>
      <c r="U40" s="342"/>
      <c r="V40" s="621">
        <f>+V38+V39</f>
        <v>254408.37787665817</v>
      </c>
      <c r="W40" s="342"/>
      <c r="X40" s="621">
        <f>+X38+X39</f>
        <v>99999.028030379719</v>
      </c>
      <c r="Y40" s="342"/>
      <c r="Z40" s="621">
        <f>+Z38+Z39</f>
        <v>0</v>
      </c>
    </row>
    <row r="41" spans="1:26" ht="15">
      <c r="A41" s="45"/>
      <c r="B41" s="445"/>
      <c r="C41" s="445"/>
      <c r="D41" s="445"/>
      <c r="E41" s="621"/>
      <c r="F41" s="621"/>
      <c r="G41" s="621"/>
      <c r="H41" s="443"/>
      <c r="I41" s="621"/>
      <c r="J41" s="621"/>
      <c r="K41" s="621"/>
      <c r="L41" s="342"/>
      <c r="M41" s="342"/>
      <c r="N41" s="342"/>
      <c r="O41" s="342"/>
      <c r="P41" s="342"/>
      <c r="Q41" s="342"/>
      <c r="R41" s="342"/>
      <c r="S41" s="342"/>
      <c r="T41" s="342"/>
      <c r="U41" s="342"/>
      <c r="V41" s="342"/>
      <c r="W41" s="342"/>
      <c r="X41" s="342"/>
      <c r="Y41" s="342"/>
      <c r="Z41" s="342"/>
    </row>
    <row r="42" spans="1:26" ht="15">
      <c r="A42" s="45"/>
      <c r="B42" s="445"/>
      <c r="C42" s="445"/>
      <c r="D42" s="445"/>
      <c r="E42" s="621"/>
      <c r="F42" s="621"/>
      <c r="G42" s="621"/>
      <c r="H42" s="443"/>
      <c r="I42" s="621"/>
      <c r="J42" s="621"/>
      <c r="K42" s="621"/>
      <c r="L42" s="342"/>
      <c r="M42" s="342"/>
      <c r="N42" s="342"/>
      <c r="O42" s="342"/>
      <c r="P42" s="342"/>
      <c r="Q42" s="342"/>
      <c r="R42" s="342"/>
      <c r="S42" s="342"/>
      <c r="T42" s="342"/>
      <c r="U42" s="342"/>
      <c r="V42" s="342"/>
      <c r="W42" s="342"/>
      <c r="X42" s="342"/>
      <c r="Y42" s="342"/>
      <c r="Z42" s="342"/>
    </row>
    <row r="43" spans="1:26" ht="31.5">
      <c r="A43" s="45"/>
      <c r="B43" s="399" t="s">
        <v>876</v>
      </c>
      <c r="C43" s="399"/>
      <c r="D43" s="399"/>
      <c r="E43" s="621"/>
      <c r="F43" s="621"/>
      <c r="G43" s="621"/>
      <c r="H43" s="443"/>
      <c r="I43" s="621"/>
      <c r="J43" s="621"/>
      <c r="K43" s="621"/>
      <c r="L43" s="342"/>
      <c r="M43" s="342"/>
      <c r="N43" s="342"/>
      <c r="O43" s="342"/>
      <c r="P43" s="342"/>
      <c r="Q43" s="342"/>
      <c r="R43" s="342"/>
      <c r="S43" s="342"/>
      <c r="T43" s="342"/>
      <c r="U43" s="342"/>
      <c r="V43" s="342"/>
      <c r="W43" s="342"/>
      <c r="X43" s="342"/>
      <c r="Y43" s="342"/>
      <c r="Z43" s="342"/>
    </row>
    <row r="44" spans="1:26" ht="15">
      <c r="A44" s="45"/>
      <c r="B44" s="445"/>
      <c r="C44" s="445"/>
      <c r="D44" s="445"/>
      <c r="E44" s="621"/>
      <c r="F44" s="621"/>
      <c r="G44" s="621"/>
      <c r="H44" s="443"/>
      <c r="I44" s="621"/>
      <c r="J44" s="621"/>
      <c r="K44" s="621"/>
      <c r="L44" s="342"/>
      <c r="M44" s="342"/>
      <c r="N44" s="342"/>
      <c r="O44" s="342"/>
      <c r="P44" s="342"/>
      <c r="Q44" s="342"/>
      <c r="R44" s="342"/>
      <c r="S44" s="342"/>
      <c r="T44" s="342"/>
      <c r="U44" s="342"/>
      <c r="V44" s="342"/>
      <c r="W44" s="342"/>
      <c r="X44" s="342"/>
      <c r="Y44" s="342"/>
      <c r="Z44" s="342"/>
    </row>
    <row r="45" spans="1:26" ht="17.25">
      <c r="A45" s="45"/>
      <c r="B45" s="442" t="s">
        <v>852</v>
      </c>
      <c r="C45" s="442"/>
      <c r="D45" s="442"/>
      <c r="E45" s="622"/>
      <c r="F45" s="622"/>
      <c r="G45" s="622"/>
      <c r="H45" s="443"/>
      <c r="I45" s="621"/>
      <c r="J45" s="621"/>
      <c r="K45" s="621"/>
      <c r="L45" s="342"/>
      <c r="M45" s="342"/>
      <c r="N45" s="342"/>
      <c r="O45" s="342"/>
      <c r="P45" s="342"/>
      <c r="Q45" s="342"/>
      <c r="R45" s="342"/>
      <c r="S45" s="342"/>
      <c r="T45" s="342"/>
      <c r="U45" s="342"/>
      <c r="V45" s="342"/>
      <c r="W45" s="342"/>
      <c r="X45" s="342"/>
      <c r="Y45" s="342"/>
      <c r="Z45" s="342"/>
    </row>
    <row r="46" spans="1:26" ht="15">
      <c r="A46" s="45">
        <f>+A40+1</f>
        <v>25</v>
      </c>
      <c r="B46" s="723" t="s">
        <v>869</v>
      </c>
      <c r="C46" s="683">
        <v>0</v>
      </c>
      <c r="D46" s="634">
        <f t="shared" ref="D46:D47" si="39">+C46*$I$80</f>
        <v>0</v>
      </c>
      <c r="E46" s="634">
        <f t="shared" ref="E46:E47" si="40">+C46-D46</f>
        <v>0</v>
      </c>
      <c r="F46" s="683">
        <v>0</v>
      </c>
      <c r="G46" s="635">
        <f>+E46-F46</f>
        <v>0</v>
      </c>
      <c r="H46" s="724">
        <v>0</v>
      </c>
      <c r="I46" s="634">
        <f t="shared" ref="I46" si="41">+G46*H46</f>
        <v>0</v>
      </c>
      <c r="J46" s="683"/>
      <c r="K46" s="621">
        <v>0</v>
      </c>
      <c r="L46" s="342">
        <f>+I46-K46</f>
        <v>0</v>
      </c>
      <c r="M46" s="683">
        <v>0</v>
      </c>
      <c r="N46" s="342">
        <f>+L46-M46</f>
        <v>0</v>
      </c>
      <c r="O46" s="683">
        <v>0</v>
      </c>
      <c r="P46" s="342">
        <f>+N46-O46</f>
        <v>0</v>
      </c>
      <c r="Q46" s="683">
        <v>0</v>
      </c>
      <c r="R46" s="342">
        <f>+P46-Q46</f>
        <v>0</v>
      </c>
      <c r="S46" s="683">
        <v>0</v>
      </c>
      <c r="T46" s="342">
        <f>+R46-S46</f>
        <v>0</v>
      </c>
      <c r="U46" s="683">
        <v>0</v>
      </c>
      <c r="V46" s="342">
        <f>+T46-U46</f>
        <v>0</v>
      </c>
      <c r="W46" s="683">
        <v>0</v>
      </c>
      <c r="X46" s="342">
        <f>+V46-W46</f>
        <v>0</v>
      </c>
      <c r="Y46" s="683">
        <v>0</v>
      </c>
      <c r="Z46" s="342">
        <f>+X46-Y46</f>
        <v>0</v>
      </c>
    </row>
    <row r="47" spans="1:26" ht="15">
      <c r="A47" s="45">
        <f>+A46+1</f>
        <v>26</v>
      </c>
      <c r="B47" s="723" t="s">
        <v>869</v>
      </c>
      <c r="C47" s="684">
        <v>0</v>
      </c>
      <c r="D47" s="657">
        <f t="shared" si="39"/>
        <v>0</v>
      </c>
      <c r="E47" s="657">
        <f t="shared" si="40"/>
        <v>0</v>
      </c>
      <c r="F47" s="684">
        <v>0</v>
      </c>
      <c r="G47" s="656">
        <f>+E47-F47</f>
        <v>0</v>
      </c>
      <c r="H47" s="724" t="s">
        <v>866</v>
      </c>
      <c r="I47" s="656">
        <v>0</v>
      </c>
      <c r="J47" s="683"/>
      <c r="K47" s="659">
        <v>0</v>
      </c>
      <c r="L47" s="722">
        <f>+I47-K47</f>
        <v>0</v>
      </c>
      <c r="M47" s="684">
        <v>0</v>
      </c>
      <c r="N47" s="722">
        <f>+L47-M47</f>
        <v>0</v>
      </c>
      <c r="O47" s="684">
        <v>0</v>
      </c>
      <c r="P47" s="722">
        <f>+N47-O47</f>
        <v>0</v>
      </c>
      <c r="Q47" s="684">
        <v>0</v>
      </c>
      <c r="R47" s="722">
        <f>+P47-Q47</f>
        <v>0</v>
      </c>
      <c r="S47" s="684">
        <v>0</v>
      </c>
      <c r="T47" s="722">
        <f>+R47-S47</f>
        <v>0</v>
      </c>
      <c r="U47" s="684">
        <v>0</v>
      </c>
      <c r="V47" s="722">
        <f>+T47-U47</f>
        <v>0</v>
      </c>
      <c r="W47" s="684">
        <v>0</v>
      </c>
      <c r="X47" s="722">
        <f>+V47-W47</f>
        <v>0</v>
      </c>
      <c r="Y47" s="684">
        <v>0</v>
      </c>
      <c r="Z47" s="722">
        <f>+X47-Y47</f>
        <v>0</v>
      </c>
    </row>
    <row r="48" spans="1:26" ht="15">
      <c r="A48" s="45">
        <f>+A47+1</f>
        <v>27</v>
      </c>
      <c r="B48" s="445" t="s">
        <v>877</v>
      </c>
      <c r="C48" s="621">
        <f>+C46+C47</f>
        <v>0</v>
      </c>
      <c r="D48" s="621">
        <f>+D46+D47</f>
        <v>0</v>
      </c>
      <c r="E48" s="621">
        <f>+E46+E47</f>
        <v>0</v>
      </c>
      <c r="F48" s="621">
        <f>+F46+F47</f>
        <v>0</v>
      </c>
      <c r="G48" s="621">
        <f>+G46+G47</f>
        <v>0</v>
      </c>
      <c r="H48" s="443"/>
      <c r="I48" s="621">
        <v>0</v>
      </c>
      <c r="J48" s="621"/>
      <c r="K48" s="621">
        <v>0</v>
      </c>
      <c r="L48" s="621">
        <v>0</v>
      </c>
      <c r="M48" s="621">
        <v>0</v>
      </c>
      <c r="N48" s="621">
        <v>0</v>
      </c>
      <c r="O48" s="621">
        <v>0</v>
      </c>
      <c r="P48" s="621">
        <v>0</v>
      </c>
      <c r="Q48" s="621">
        <v>0</v>
      </c>
      <c r="R48" s="621">
        <v>0</v>
      </c>
      <c r="S48" s="621">
        <v>0</v>
      </c>
      <c r="T48" s="621">
        <v>0</v>
      </c>
      <c r="U48" s="621">
        <v>0</v>
      </c>
      <c r="V48" s="621">
        <v>0</v>
      </c>
      <c r="W48" s="621">
        <v>0</v>
      </c>
      <c r="X48" s="621">
        <v>0</v>
      </c>
      <c r="Y48" s="621">
        <v>0</v>
      </c>
      <c r="Z48" s="621">
        <v>0</v>
      </c>
    </row>
    <row r="49" spans="1:26" ht="15">
      <c r="A49" s="45"/>
      <c r="B49" s="445"/>
      <c r="C49" s="621"/>
      <c r="D49" s="621"/>
      <c r="E49" s="621"/>
      <c r="F49" s="621"/>
      <c r="G49" s="621"/>
      <c r="H49" s="443"/>
      <c r="I49" s="621"/>
      <c r="J49" s="621"/>
      <c r="K49" s="621"/>
      <c r="L49" s="342"/>
      <c r="M49" s="342"/>
      <c r="N49" s="342"/>
      <c r="O49" s="342"/>
      <c r="P49" s="342"/>
      <c r="Q49" s="342"/>
      <c r="R49" s="342"/>
      <c r="S49" s="342"/>
      <c r="T49" s="342"/>
      <c r="U49" s="342"/>
      <c r="V49" s="342"/>
      <c r="W49" s="342"/>
      <c r="X49" s="342"/>
      <c r="Y49" s="342"/>
      <c r="Z49" s="342"/>
    </row>
    <row r="50" spans="1:26" ht="15">
      <c r="A50" s="45"/>
      <c r="B50" s="442" t="s">
        <v>868</v>
      </c>
      <c r="C50" s="621"/>
      <c r="D50" s="621"/>
      <c r="E50" s="621"/>
      <c r="F50" s="621"/>
      <c r="G50" s="621"/>
      <c r="H50" s="443"/>
      <c r="I50" s="621"/>
      <c r="J50" s="621"/>
      <c r="K50" s="621"/>
      <c r="L50" s="342"/>
      <c r="M50" s="342"/>
      <c r="N50" s="342"/>
      <c r="O50" s="342"/>
      <c r="P50" s="342"/>
      <c r="Q50" s="342"/>
      <c r="R50" s="342"/>
      <c r="S50" s="342"/>
      <c r="T50" s="342"/>
      <c r="U50" s="342"/>
      <c r="V50" s="342"/>
      <c r="W50" s="342"/>
      <c r="X50" s="342"/>
      <c r="Y50" s="342"/>
      <c r="Z50" s="342"/>
    </row>
    <row r="51" spans="1:26" ht="15">
      <c r="A51" s="45">
        <f>+A48+1</f>
        <v>28</v>
      </c>
      <c r="B51" s="728" t="s">
        <v>878</v>
      </c>
      <c r="C51" s="683">
        <v>-174316942.5</v>
      </c>
      <c r="D51" s="634">
        <f t="shared" ref="D51:D52" si="42">+C51*$I$80</f>
        <v>-104590165.5</v>
      </c>
      <c r="E51" s="634">
        <f t="shared" ref="E51:E52" si="43">+C51-D51</f>
        <v>-69726777</v>
      </c>
      <c r="F51" s="683">
        <v>0</v>
      </c>
      <c r="G51" s="635">
        <f>+E51+F51</f>
        <v>-69726777</v>
      </c>
      <c r="H51" s="724">
        <v>0.30148496415831438</v>
      </c>
      <c r="I51" s="634">
        <f t="shared" ref="I51" si="44">+G51*H51</f>
        <v>-21021574.864719778</v>
      </c>
      <c r="J51" s="721" t="s">
        <v>237</v>
      </c>
      <c r="K51" s="635">
        <v>0</v>
      </c>
      <c r="L51" s="342">
        <f t="shared" ref="L51:L52" si="45">+I51-K51</f>
        <v>-21021574.864719778</v>
      </c>
      <c r="M51" s="581">
        <v>-1589075</v>
      </c>
      <c r="N51" s="342">
        <f t="shared" ref="N51:N52" si="46">+L51-M51</f>
        <v>-19432499.864719778</v>
      </c>
      <c r="O51" s="581">
        <v>-842411</v>
      </c>
      <c r="P51" s="342">
        <f t="shared" ref="P51:P52" si="47">+N51-O51</f>
        <v>-18590088.864719778</v>
      </c>
      <c r="Q51" s="581">
        <v>-725756</v>
      </c>
      <c r="R51" s="342">
        <f t="shared" ref="R51:R52" si="48">+P51-Q51</f>
        <v>-17864332.864719778</v>
      </c>
      <c r="S51" s="683">
        <v>-749590</v>
      </c>
      <c r="T51" s="342">
        <f t="shared" ref="T51:T52" si="49">+R51-S51</f>
        <v>-17114742.864719778</v>
      </c>
      <c r="U51" s="683">
        <v>-554747</v>
      </c>
      <c r="V51" s="342">
        <f t="shared" ref="V51:V52" si="50">+T51-U51</f>
        <v>-16559995.864719778</v>
      </c>
      <c r="W51" s="683">
        <v>0</v>
      </c>
      <c r="X51" s="342">
        <f t="shared" ref="X51:X52" si="51">+V51-W51</f>
        <v>-16559995.864719778</v>
      </c>
      <c r="Y51" s="683">
        <v>0</v>
      </c>
      <c r="Z51" s="342">
        <f t="shared" ref="Z51:Z52" si="52">+X51-Y51</f>
        <v>-16559995.864719778</v>
      </c>
    </row>
    <row r="52" spans="1:26" ht="15">
      <c r="A52" s="45">
        <f>+A51+1</f>
        <v>29</v>
      </c>
      <c r="B52" s="728" t="s">
        <v>879</v>
      </c>
      <c r="C52" s="684">
        <v>-84074115.473193392</v>
      </c>
      <c r="D52" s="657">
        <f t="shared" si="42"/>
        <v>-50444469.283916034</v>
      </c>
      <c r="E52" s="657">
        <f t="shared" si="43"/>
        <v>-33629646.189277358</v>
      </c>
      <c r="F52" s="684">
        <v>0</v>
      </c>
      <c r="G52" s="656">
        <f>+E52+F52</f>
        <v>-33629646.189277358</v>
      </c>
      <c r="H52" s="724" t="s">
        <v>866</v>
      </c>
      <c r="I52" s="722">
        <v>-10130697</v>
      </c>
      <c r="J52" s="729" t="s">
        <v>880</v>
      </c>
      <c r="K52" s="658">
        <v>0</v>
      </c>
      <c r="L52" s="722">
        <f t="shared" si="45"/>
        <v>-10130697</v>
      </c>
      <c r="M52" s="722">
        <f>+I52/10</f>
        <v>-1013069.7</v>
      </c>
      <c r="N52" s="722">
        <f t="shared" si="46"/>
        <v>-9117627.3000000007</v>
      </c>
      <c r="O52" s="722">
        <f>+I52/10</f>
        <v>-1013069.7</v>
      </c>
      <c r="P52" s="722">
        <f t="shared" si="47"/>
        <v>-8104557.6000000006</v>
      </c>
      <c r="Q52" s="722">
        <f>+P52/5</f>
        <v>-1620911.52</v>
      </c>
      <c r="R52" s="722">
        <f t="shared" si="48"/>
        <v>-6483646.0800000001</v>
      </c>
      <c r="S52" s="657">
        <f t="shared" ref="S52:Y52" si="53">+$P52/5</f>
        <v>-1620911.52</v>
      </c>
      <c r="T52" s="722">
        <f t="shared" si="49"/>
        <v>-4862734.5600000005</v>
      </c>
      <c r="U52" s="657">
        <f t="shared" si="53"/>
        <v>-1620911.52</v>
      </c>
      <c r="V52" s="722">
        <f t="shared" si="50"/>
        <v>-3241823.0400000005</v>
      </c>
      <c r="W52" s="657">
        <f t="shared" si="53"/>
        <v>-1620911.52</v>
      </c>
      <c r="X52" s="722">
        <f t="shared" si="51"/>
        <v>-1620911.5200000005</v>
      </c>
      <c r="Y52" s="657">
        <f t="shared" si="53"/>
        <v>-1620911.52</v>
      </c>
      <c r="Z52" s="722">
        <f t="shared" si="52"/>
        <v>0</v>
      </c>
    </row>
    <row r="53" spans="1:26" ht="17.25">
      <c r="A53" s="45">
        <f>+A52+1</f>
        <v>30</v>
      </c>
      <c r="B53" s="445" t="s">
        <v>870</v>
      </c>
      <c r="C53" s="622">
        <f>+SUM(C51:C52)</f>
        <v>-258391057.97319341</v>
      </c>
      <c r="D53" s="621">
        <f>+D51+D52</f>
        <v>-155034634.78391603</v>
      </c>
      <c r="E53" s="621">
        <f>+SUM(E51:E52)</f>
        <v>-103356423.18927735</v>
      </c>
      <c r="F53" s="621">
        <f>+SUM(F51:F52)</f>
        <v>0</v>
      </c>
      <c r="G53" s="621">
        <f>+SUM(G51:G52)</f>
        <v>-103356423.18927735</v>
      </c>
      <c r="H53" s="443"/>
      <c r="I53" s="730">
        <f t="shared" ref="I53:Z53" si="54">+SUM(I51:I52)</f>
        <v>-31152271.864719778</v>
      </c>
      <c r="J53" s="730"/>
      <c r="K53" s="730">
        <f t="shared" si="54"/>
        <v>0</v>
      </c>
      <c r="L53" s="730">
        <f t="shared" si="54"/>
        <v>-31152271.864719778</v>
      </c>
      <c r="M53" s="730">
        <f t="shared" si="54"/>
        <v>-2602144.7000000002</v>
      </c>
      <c r="N53" s="730">
        <f t="shared" si="54"/>
        <v>-28550127.164719779</v>
      </c>
      <c r="O53" s="731">
        <f t="shared" si="54"/>
        <v>-1855480.7</v>
      </c>
      <c r="P53" s="730">
        <f t="shared" si="54"/>
        <v>-26694646.46471978</v>
      </c>
      <c r="Q53" s="731">
        <f t="shared" si="54"/>
        <v>-2346667.52</v>
      </c>
      <c r="R53" s="730">
        <f t="shared" si="54"/>
        <v>-24347978.944719777</v>
      </c>
      <c r="S53" s="731">
        <f t="shared" si="54"/>
        <v>-2370501.52</v>
      </c>
      <c r="T53" s="730">
        <f t="shared" si="54"/>
        <v>-21977477.424719781</v>
      </c>
      <c r="U53" s="731">
        <f t="shared" si="54"/>
        <v>-2175658.52</v>
      </c>
      <c r="V53" s="730">
        <f t="shared" si="54"/>
        <v>-19801818.904719777</v>
      </c>
      <c r="W53" s="731">
        <f t="shared" si="54"/>
        <v>-1620911.52</v>
      </c>
      <c r="X53" s="730">
        <f t="shared" si="54"/>
        <v>-18180907.384719778</v>
      </c>
      <c r="Y53" s="731">
        <f t="shared" si="54"/>
        <v>-1620911.52</v>
      </c>
      <c r="Z53" s="730">
        <f t="shared" si="54"/>
        <v>-16559995.864719778</v>
      </c>
    </row>
    <row r="54" spans="1:26" ht="15">
      <c r="A54" s="45"/>
      <c r="B54" s="445"/>
      <c r="C54" s="621"/>
      <c r="D54" s="621"/>
      <c r="E54" s="621"/>
      <c r="F54" s="621"/>
      <c r="G54" s="621"/>
      <c r="H54" s="443"/>
      <c r="I54" s="621"/>
      <c r="J54" s="621"/>
      <c r="K54" s="621"/>
      <c r="L54" s="342"/>
      <c r="M54" s="342"/>
      <c r="N54" s="342"/>
      <c r="O54" s="342"/>
      <c r="P54" s="342"/>
      <c r="Q54" s="342"/>
      <c r="R54" s="342"/>
      <c r="S54" s="342"/>
      <c r="T54" s="342"/>
      <c r="U54" s="342"/>
      <c r="V54" s="342"/>
      <c r="W54" s="342"/>
      <c r="X54" s="342"/>
      <c r="Y54" s="342"/>
      <c r="Z54" s="342"/>
    </row>
    <row r="55" spans="1:26" ht="15">
      <c r="A55" s="45"/>
      <c r="B55" s="445" t="s">
        <v>871</v>
      </c>
      <c r="C55" s="621"/>
      <c r="D55" s="621"/>
      <c r="E55" s="621"/>
      <c r="F55" s="621"/>
      <c r="G55" s="621"/>
      <c r="H55" s="443"/>
      <c r="I55" s="621"/>
      <c r="J55" s="621"/>
      <c r="K55" s="621"/>
      <c r="L55" s="342"/>
      <c r="M55" s="342"/>
      <c r="N55" s="342"/>
      <c r="O55" s="342"/>
      <c r="P55" s="342"/>
      <c r="Q55" s="342"/>
      <c r="R55" s="342"/>
      <c r="S55" s="342"/>
      <c r="T55" s="342"/>
      <c r="U55" s="342"/>
      <c r="V55" s="342"/>
      <c r="W55" s="342"/>
      <c r="X55" s="342"/>
      <c r="Y55" s="342"/>
      <c r="Z55" s="342"/>
    </row>
    <row r="56" spans="1:26" ht="15">
      <c r="A56" s="45">
        <f>+A53+1</f>
        <v>31</v>
      </c>
      <c r="B56" s="728" t="s">
        <v>316</v>
      </c>
      <c r="C56" s="683">
        <v>-5722360</v>
      </c>
      <c r="D56" s="634">
        <f t="shared" ref="D56:D61" si="55">+C56*$I$80</f>
        <v>-3433416</v>
      </c>
      <c r="E56" s="634">
        <f t="shared" ref="E56:E61" si="56">+C56-D56</f>
        <v>-2288944</v>
      </c>
      <c r="F56" s="683">
        <v>0</v>
      </c>
      <c r="G56" s="635">
        <f>+E56-F56</f>
        <v>-2288944</v>
      </c>
      <c r="H56" s="724">
        <v>0.30148000000000003</v>
      </c>
      <c r="I56" s="634">
        <f t="shared" ref="I56:I60" si="57">+G56*H56</f>
        <v>-690070.83712000004</v>
      </c>
      <c r="J56" s="721" t="s">
        <v>854</v>
      </c>
      <c r="K56" s="635">
        <v>0</v>
      </c>
      <c r="L56" s="342">
        <f t="shared" ref="L56:L61" si="58">+I56-K56</f>
        <v>-690070.83712000004</v>
      </c>
      <c r="M56" s="342">
        <f>+I56/10</f>
        <v>-69007.083712000007</v>
      </c>
      <c r="N56" s="342">
        <f t="shared" ref="N56:N61" si="59">+L56-M56</f>
        <v>-621063.75340799999</v>
      </c>
      <c r="O56" s="342">
        <f>+I56/10</f>
        <v>-69007.083712000007</v>
      </c>
      <c r="P56" s="342">
        <f t="shared" ref="P56:P61" si="60">+N56-O56</f>
        <v>-552056.66969599994</v>
      </c>
      <c r="Q56" s="342">
        <f>+P56/5</f>
        <v>-110411.33393919999</v>
      </c>
      <c r="R56" s="342">
        <f t="shared" ref="R56:R61" si="61">+P56-Q56</f>
        <v>-441645.33575679996</v>
      </c>
      <c r="S56" s="634">
        <f t="shared" ref="S56:Y61" si="62">+$P56/5</f>
        <v>-110411.33393919999</v>
      </c>
      <c r="T56" s="342">
        <f t="shared" ref="T56:T61" si="63">+R56-S56</f>
        <v>-331234.00181759999</v>
      </c>
      <c r="U56" s="634">
        <f t="shared" si="62"/>
        <v>-110411.33393919999</v>
      </c>
      <c r="V56" s="342">
        <f t="shared" ref="V56:V61" si="64">+T56-U56</f>
        <v>-220822.66787840001</v>
      </c>
      <c r="W56" s="634">
        <f t="shared" si="62"/>
        <v>-110411.33393919999</v>
      </c>
      <c r="X56" s="342">
        <f t="shared" ref="X56:X61" si="65">+V56-W56</f>
        <v>-110411.33393920002</v>
      </c>
      <c r="Y56" s="634">
        <f t="shared" si="62"/>
        <v>-110411.33393919999</v>
      </c>
      <c r="Z56" s="342">
        <f t="shared" ref="Z56:Z61" si="66">+X56-Y56</f>
        <v>0</v>
      </c>
    </row>
    <row r="57" spans="1:26" ht="15">
      <c r="A57" s="45">
        <f>+A56+1</f>
        <v>32</v>
      </c>
      <c r="B57" s="728" t="s">
        <v>881</v>
      </c>
      <c r="C57" s="683">
        <v>-2442970</v>
      </c>
      <c r="D57" s="634">
        <f t="shared" si="55"/>
        <v>-1465782</v>
      </c>
      <c r="E57" s="634">
        <f t="shared" si="56"/>
        <v>-977188</v>
      </c>
      <c r="F57" s="683">
        <v>0</v>
      </c>
      <c r="G57" s="635">
        <f t="shared" ref="G57:G61" si="67">+E57-F57</f>
        <v>-977188</v>
      </c>
      <c r="H57" s="724">
        <v>0.14549999999999999</v>
      </c>
      <c r="I57" s="634">
        <f t="shared" si="57"/>
        <v>-142180.85399999999</v>
      </c>
      <c r="J57" s="721" t="s">
        <v>854</v>
      </c>
      <c r="K57" s="635">
        <v>0</v>
      </c>
      <c r="L57" s="342">
        <f t="shared" si="58"/>
        <v>-142180.85399999999</v>
      </c>
      <c r="M57" s="342">
        <f t="shared" ref="M57:M61" si="68">+I57/10</f>
        <v>-14218.0854</v>
      </c>
      <c r="N57" s="342">
        <f t="shared" si="59"/>
        <v>-127962.7686</v>
      </c>
      <c r="O57" s="342">
        <f t="shared" ref="O57:O61" si="69">+I57/10</f>
        <v>-14218.0854</v>
      </c>
      <c r="P57" s="342">
        <f t="shared" si="60"/>
        <v>-113744.6832</v>
      </c>
      <c r="Q57" s="342">
        <f t="shared" ref="Q57:Q61" si="70">+P57/5</f>
        <v>-22748.93664</v>
      </c>
      <c r="R57" s="342">
        <f t="shared" si="61"/>
        <v>-90995.74656</v>
      </c>
      <c r="S57" s="634">
        <f t="shared" si="62"/>
        <v>-22748.93664</v>
      </c>
      <c r="T57" s="342">
        <f t="shared" si="63"/>
        <v>-68246.80992</v>
      </c>
      <c r="U57" s="634">
        <f t="shared" si="62"/>
        <v>-22748.93664</v>
      </c>
      <c r="V57" s="342">
        <f t="shared" si="64"/>
        <v>-45497.87328</v>
      </c>
      <c r="W57" s="634">
        <f t="shared" si="62"/>
        <v>-22748.93664</v>
      </c>
      <c r="X57" s="342">
        <f t="shared" si="65"/>
        <v>-22748.93664</v>
      </c>
      <c r="Y57" s="634">
        <f t="shared" si="62"/>
        <v>-22748.93664</v>
      </c>
      <c r="Z57" s="342">
        <f t="shared" si="66"/>
        <v>0</v>
      </c>
    </row>
    <row r="58" spans="1:26" ht="15">
      <c r="A58" s="45">
        <f t="shared" ref="A58:A61" si="71">+A57+1</f>
        <v>33</v>
      </c>
      <c r="B58" s="728" t="s">
        <v>882</v>
      </c>
      <c r="C58" s="683">
        <v>-26686865</v>
      </c>
      <c r="D58" s="634">
        <f t="shared" si="55"/>
        <v>-16012119</v>
      </c>
      <c r="E58" s="634">
        <f t="shared" si="56"/>
        <v>-10674746</v>
      </c>
      <c r="F58" s="683">
        <v>0</v>
      </c>
      <c r="G58" s="635">
        <f t="shared" si="67"/>
        <v>-10674746</v>
      </c>
      <c r="H58" s="724">
        <v>0.14549999999999999</v>
      </c>
      <c r="I58" s="634">
        <f t="shared" si="57"/>
        <v>-1553175.5429999998</v>
      </c>
      <c r="J58" s="721" t="s">
        <v>854</v>
      </c>
      <c r="K58" s="635">
        <v>0</v>
      </c>
      <c r="L58" s="342">
        <f t="shared" si="58"/>
        <v>-1553175.5429999998</v>
      </c>
      <c r="M58" s="342">
        <f t="shared" si="68"/>
        <v>-155317.55429999999</v>
      </c>
      <c r="N58" s="342">
        <f t="shared" si="59"/>
        <v>-1397857.9886999999</v>
      </c>
      <c r="O58" s="342">
        <f t="shared" si="69"/>
        <v>-155317.55429999999</v>
      </c>
      <c r="P58" s="342">
        <f t="shared" si="60"/>
        <v>-1242540.4343999999</v>
      </c>
      <c r="Q58" s="342">
        <f t="shared" si="70"/>
        <v>-248508.08687999999</v>
      </c>
      <c r="R58" s="342">
        <f t="shared" si="61"/>
        <v>-994032.34751999995</v>
      </c>
      <c r="S58" s="634">
        <f t="shared" si="62"/>
        <v>-248508.08687999999</v>
      </c>
      <c r="T58" s="342">
        <f t="shared" si="63"/>
        <v>-745524.26063999999</v>
      </c>
      <c r="U58" s="634">
        <f t="shared" si="62"/>
        <v>-248508.08687999999</v>
      </c>
      <c r="V58" s="342">
        <f t="shared" si="64"/>
        <v>-497016.17376000003</v>
      </c>
      <c r="W58" s="634">
        <f t="shared" si="62"/>
        <v>-248508.08687999999</v>
      </c>
      <c r="X58" s="342">
        <f t="shared" si="65"/>
        <v>-248508.08688000005</v>
      </c>
      <c r="Y58" s="634">
        <f t="shared" si="62"/>
        <v>-248508.08687999999</v>
      </c>
      <c r="Z58" s="342">
        <f t="shared" si="66"/>
        <v>0</v>
      </c>
    </row>
    <row r="59" spans="1:26" ht="15">
      <c r="A59" s="45">
        <f t="shared" si="71"/>
        <v>34</v>
      </c>
      <c r="B59" s="728" t="s">
        <v>324</v>
      </c>
      <c r="C59" s="683">
        <v>-17226040</v>
      </c>
      <c r="D59" s="634">
        <f t="shared" si="55"/>
        <v>-10335624</v>
      </c>
      <c r="E59" s="634">
        <f t="shared" si="56"/>
        <v>-6890416</v>
      </c>
      <c r="F59" s="683">
        <v>0</v>
      </c>
      <c r="G59" s="635">
        <f t="shared" si="67"/>
        <v>-6890416</v>
      </c>
      <c r="H59" s="724">
        <v>0.14549999999999999</v>
      </c>
      <c r="I59" s="634">
        <f t="shared" si="57"/>
        <v>-1002555.5279999999</v>
      </c>
      <c r="J59" s="721" t="s">
        <v>854</v>
      </c>
      <c r="K59" s="635">
        <v>0</v>
      </c>
      <c r="L59" s="342">
        <f t="shared" si="58"/>
        <v>-1002555.5279999999</v>
      </c>
      <c r="M59" s="342">
        <f t="shared" si="68"/>
        <v>-100255.55279999999</v>
      </c>
      <c r="N59" s="342">
        <f t="shared" si="59"/>
        <v>-902299.97519999999</v>
      </c>
      <c r="O59" s="342">
        <f t="shared" si="69"/>
        <v>-100255.55279999999</v>
      </c>
      <c r="P59" s="342">
        <f t="shared" si="60"/>
        <v>-802044.42240000004</v>
      </c>
      <c r="Q59" s="342">
        <f t="shared" si="70"/>
        <v>-160408.88448000001</v>
      </c>
      <c r="R59" s="342">
        <f t="shared" si="61"/>
        <v>-641635.53792000003</v>
      </c>
      <c r="S59" s="634">
        <f t="shared" si="62"/>
        <v>-160408.88448000001</v>
      </c>
      <c r="T59" s="342">
        <f t="shared" si="63"/>
        <v>-481226.65344000002</v>
      </c>
      <c r="U59" s="634">
        <f t="shared" si="62"/>
        <v>-160408.88448000001</v>
      </c>
      <c r="V59" s="342">
        <f t="shared" si="64"/>
        <v>-320817.76896000002</v>
      </c>
      <c r="W59" s="634">
        <f t="shared" si="62"/>
        <v>-160408.88448000001</v>
      </c>
      <c r="X59" s="342">
        <f t="shared" si="65"/>
        <v>-160408.88448000001</v>
      </c>
      <c r="Y59" s="634">
        <f t="shared" si="62"/>
        <v>-160408.88448000001</v>
      </c>
      <c r="Z59" s="342">
        <f t="shared" si="66"/>
        <v>0</v>
      </c>
    </row>
    <row r="60" spans="1:26" ht="15">
      <c r="A60" s="45">
        <f t="shared" si="71"/>
        <v>35</v>
      </c>
      <c r="B60" s="728" t="s">
        <v>325</v>
      </c>
      <c r="C60" s="683">
        <v>681172.5</v>
      </c>
      <c r="D60" s="634">
        <f t="shared" si="55"/>
        <v>408703.5</v>
      </c>
      <c r="E60" s="634">
        <f t="shared" si="56"/>
        <v>272469</v>
      </c>
      <c r="F60" s="683">
        <v>0</v>
      </c>
      <c r="G60" s="635">
        <f t="shared" si="67"/>
        <v>272469</v>
      </c>
      <c r="H60" s="724">
        <v>0.14549999999999999</v>
      </c>
      <c r="I60" s="634">
        <f t="shared" si="57"/>
        <v>39644.239499999996</v>
      </c>
      <c r="J60" s="721" t="s">
        <v>854</v>
      </c>
      <c r="K60" s="635">
        <v>0</v>
      </c>
      <c r="L60" s="342">
        <f t="shared" si="58"/>
        <v>39644.239499999996</v>
      </c>
      <c r="M60" s="342">
        <f t="shared" si="68"/>
        <v>3964.4239499999994</v>
      </c>
      <c r="N60" s="342">
        <f t="shared" si="59"/>
        <v>35679.815549999999</v>
      </c>
      <c r="O60" s="342">
        <f t="shared" si="69"/>
        <v>3964.4239499999994</v>
      </c>
      <c r="P60" s="342">
        <f t="shared" si="60"/>
        <v>31715.391599999999</v>
      </c>
      <c r="Q60" s="342">
        <f t="shared" si="70"/>
        <v>6343.0783199999996</v>
      </c>
      <c r="R60" s="342">
        <f t="shared" si="61"/>
        <v>25372.313279999998</v>
      </c>
      <c r="S60" s="634">
        <f t="shared" si="62"/>
        <v>6343.0783199999996</v>
      </c>
      <c r="T60" s="342">
        <f t="shared" si="63"/>
        <v>19029.234959999998</v>
      </c>
      <c r="U60" s="634">
        <f t="shared" si="62"/>
        <v>6343.0783199999996</v>
      </c>
      <c r="V60" s="342">
        <f t="shared" si="64"/>
        <v>12686.156639999997</v>
      </c>
      <c r="W60" s="634">
        <f t="shared" si="62"/>
        <v>6343.0783199999996</v>
      </c>
      <c r="X60" s="342">
        <f t="shared" si="65"/>
        <v>6343.0783199999978</v>
      </c>
      <c r="Y60" s="634">
        <f t="shared" si="62"/>
        <v>6343.0783199999996</v>
      </c>
      <c r="Z60" s="342">
        <f t="shared" si="66"/>
        <v>0</v>
      </c>
    </row>
    <row r="61" spans="1:26" ht="15">
      <c r="A61" s="45">
        <f t="shared" si="71"/>
        <v>36</v>
      </c>
      <c r="B61" s="728" t="s">
        <v>294</v>
      </c>
      <c r="C61" s="684">
        <v>1347942.5</v>
      </c>
      <c r="D61" s="657">
        <f t="shared" si="55"/>
        <v>808765.5</v>
      </c>
      <c r="E61" s="657">
        <f t="shared" si="56"/>
        <v>539177</v>
      </c>
      <c r="F61" s="684">
        <v>0</v>
      </c>
      <c r="G61" s="658">
        <f t="shared" si="67"/>
        <v>539177</v>
      </c>
      <c r="H61" s="724" t="s">
        <v>866</v>
      </c>
      <c r="I61" s="656">
        <v>-1055740</v>
      </c>
      <c r="J61" s="721" t="s">
        <v>854</v>
      </c>
      <c r="K61" s="656">
        <v>0</v>
      </c>
      <c r="L61" s="722">
        <f t="shared" si="58"/>
        <v>-1055740</v>
      </c>
      <c r="M61" s="722">
        <f t="shared" si="68"/>
        <v>-105574</v>
      </c>
      <c r="N61" s="722">
        <f t="shared" si="59"/>
        <v>-950166</v>
      </c>
      <c r="O61" s="722">
        <f t="shared" si="69"/>
        <v>-105574</v>
      </c>
      <c r="P61" s="722">
        <f t="shared" si="60"/>
        <v>-844592</v>
      </c>
      <c r="Q61" s="722">
        <f t="shared" si="70"/>
        <v>-168918.39999999999</v>
      </c>
      <c r="R61" s="722">
        <f t="shared" si="61"/>
        <v>-675673.59999999998</v>
      </c>
      <c r="S61" s="657">
        <f t="shared" si="62"/>
        <v>-168918.39999999999</v>
      </c>
      <c r="T61" s="722">
        <f t="shared" si="63"/>
        <v>-506755.19999999995</v>
      </c>
      <c r="U61" s="657">
        <f t="shared" si="62"/>
        <v>-168918.39999999999</v>
      </c>
      <c r="V61" s="722">
        <f t="shared" si="64"/>
        <v>-337836.79999999993</v>
      </c>
      <c r="W61" s="657">
        <f t="shared" si="62"/>
        <v>-168918.39999999999</v>
      </c>
      <c r="X61" s="722">
        <f t="shared" si="65"/>
        <v>-168918.39999999994</v>
      </c>
      <c r="Y61" s="657">
        <f t="shared" si="62"/>
        <v>-168918.39999999999</v>
      </c>
      <c r="Z61" s="722">
        <f t="shared" si="66"/>
        <v>0</v>
      </c>
    </row>
    <row r="62" spans="1:26" ht="17.25">
      <c r="A62" s="45">
        <f>+A61+1</f>
        <v>37</v>
      </c>
      <c r="B62" s="45" t="s">
        <v>883</v>
      </c>
      <c r="C62" s="622">
        <f>+SUM(C56:C61)</f>
        <v>-50049120</v>
      </c>
      <c r="D62" s="621">
        <f>+SUM(D50:D61)</f>
        <v>-340098741.56783205</v>
      </c>
      <c r="E62" s="621">
        <f>+SUM(E56:E61)</f>
        <v>-20019648</v>
      </c>
      <c r="F62" s="621">
        <f>+SUM(F56:F61)</f>
        <v>0</v>
      </c>
      <c r="G62" s="621">
        <f>+SUM(G56:G61)</f>
        <v>-20019648</v>
      </c>
      <c r="H62" s="443"/>
      <c r="I62" s="621">
        <f t="shared" ref="I62:Z62" si="72">+SUM(I56:I61)</f>
        <v>-4404078.5226199999</v>
      </c>
      <c r="J62" s="621"/>
      <c r="K62" s="621">
        <f t="shared" si="72"/>
        <v>0</v>
      </c>
      <c r="L62" s="621">
        <f t="shared" si="72"/>
        <v>-4404078.5226199999</v>
      </c>
      <c r="M62" s="621">
        <f t="shared" si="72"/>
        <v>-440407.85226199997</v>
      </c>
      <c r="N62" s="621">
        <f t="shared" si="72"/>
        <v>-3963670.6703579999</v>
      </c>
      <c r="O62" s="635">
        <f t="shared" si="72"/>
        <v>-440407.85226199997</v>
      </c>
      <c r="P62" s="621">
        <f t="shared" si="72"/>
        <v>-3523262.8180959998</v>
      </c>
      <c r="Q62" s="635">
        <f t="shared" si="72"/>
        <v>-704652.56361920002</v>
      </c>
      <c r="R62" s="621">
        <f t="shared" si="72"/>
        <v>-2818610.2544768001</v>
      </c>
      <c r="S62" s="635">
        <f t="shared" si="72"/>
        <v>-704652.56361920002</v>
      </c>
      <c r="T62" s="621">
        <f t="shared" si="72"/>
        <v>-2113957.6908576</v>
      </c>
      <c r="U62" s="635">
        <f t="shared" si="72"/>
        <v>-704652.56361920002</v>
      </c>
      <c r="V62" s="621">
        <f t="shared" si="72"/>
        <v>-1409305.1272384003</v>
      </c>
      <c r="W62" s="635">
        <f t="shared" si="72"/>
        <v>-704652.56361920002</v>
      </c>
      <c r="X62" s="621">
        <f t="shared" si="72"/>
        <v>-704652.56361920002</v>
      </c>
      <c r="Y62" s="635">
        <f t="shared" si="72"/>
        <v>-704652.56361920002</v>
      </c>
      <c r="Z62" s="621">
        <f t="shared" si="72"/>
        <v>0</v>
      </c>
    </row>
    <row r="63" spans="1:26" ht="17.25">
      <c r="A63" s="45"/>
      <c r="B63" s="45"/>
      <c r="C63" s="45"/>
      <c r="D63" s="45"/>
      <c r="E63" s="622"/>
      <c r="F63" s="808"/>
      <c r="G63" s="622"/>
      <c r="H63" s="443"/>
      <c r="I63" s="622"/>
      <c r="J63" s="622"/>
      <c r="K63" s="622"/>
      <c r="L63" s="622"/>
      <c r="M63" s="622"/>
      <c r="N63" s="622"/>
      <c r="O63" s="623"/>
      <c r="P63" s="622"/>
      <c r="Q63" s="623"/>
      <c r="R63" s="622"/>
      <c r="S63" s="623"/>
      <c r="T63" s="622"/>
      <c r="U63" s="623"/>
      <c r="V63" s="622"/>
      <c r="W63" s="623"/>
      <c r="X63" s="622"/>
      <c r="Y63" s="623"/>
      <c r="Z63" s="622"/>
    </row>
    <row r="64" spans="1:26" ht="32.25">
      <c r="A64" s="45">
        <f>+A62+1</f>
        <v>38</v>
      </c>
      <c r="B64" s="445" t="s">
        <v>873</v>
      </c>
      <c r="C64" s="445"/>
      <c r="D64" s="445"/>
      <c r="E64" s="621">
        <f>+E48+E53+E62</f>
        <v>-123376071.18927735</v>
      </c>
      <c r="F64" s="621"/>
      <c r="G64" s="621">
        <f>+G48+G53+G62</f>
        <v>-123376071.18927735</v>
      </c>
      <c r="H64" s="443"/>
      <c r="I64" s="621">
        <f>+I48+I53+I62</f>
        <v>-35556350.387339778</v>
      </c>
      <c r="J64" s="622"/>
      <c r="K64" s="621">
        <f>+K48+K53+K62</f>
        <v>0</v>
      </c>
      <c r="L64" s="621">
        <f>+L48+L53+L62</f>
        <v>-35556350.387339778</v>
      </c>
      <c r="M64" s="621">
        <f>+M48+M53+M62</f>
        <v>-3042552.5522620003</v>
      </c>
      <c r="N64" s="621">
        <f t="shared" ref="N64:Z64" si="73">+N48+N53+N62</f>
        <v>-32513797.835077778</v>
      </c>
      <c r="O64" s="621">
        <f t="shared" si="73"/>
        <v>-2295888.5522619998</v>
      </c>
      <c r="P64" s="621">
        <f t="shared" si="73"/>
        <v>-30217909.28281578</v>
      </c>
      <c r="Q64" s="621">
        <f t="shared" si="73"/>
        <v>-3051320.0836192002</v>
      </c>
      <c r="R64" s="621">
        <f t="shared" si="73"/>
        <v>-27166589.199196577</v>
      </c>
      <c r="S64" s="621">
        <f t="shared" si="73"/>
        <v>-3075154.0836192002</v>
      </c>
      <c r="T64" s="621">
        <f t="shared" si="73"/>
        <v>-24091435.115577381</v>
      </c>
      <c r="U64" s="621">
        <f t="shared" si="73"/>
        <v>-2880311.0836192002</v>
      </c>
      <c r="V64" s="621">
        <f t="shared" si="73"/>
        <v>-21211124.031958178</v>
      </c>
      <c r="W64" s="621">
        <f t="shared" si="73"/>
        <v>-2325564.0836192002</v>
      </c>
      <c r="X64" s="621">
        <f t="shared" si="73"/>
        <v>-18885559.948338978</v>
      </c>
      <c r="Y64" s="621">
        <f t="shared" si="73"/>
        <v>-2325564.0836192002</v>
      </c>
      <c r="Z64" s="621">
        <f t="shared" si="73"/>
        <v>-16559995.864719778</v>
      </c>
    </row>
    <row r="65" spans="1:27" ht="15">
      <c r="A65" s="45">
        <f>+A64+1</f>
        <v>39</v>
      </c>
      <c r="B65" s="445" t="s">
        <v>874</v>
      </c>
      <c r="C65" s="445"/>
      <c r="D65" s="445"/>
      <c r="E65" s="659">
        <v>0.26582278481012656</v>
      </c>
      <c r="F65" s="659"/>
      <c r="G65" s="659">
        <v>-31917281.164556958</v>
      </c>
      <c r="H65" s="443"/>
      <c r="I65" s="659">
        <v>-9186715.9257485475</v>
      </c>
      <c r="J65" s="621"/>
      <c r="K65" s="621"/>
      <c r="L65" s="659">
        <v>-9186715.9257485475</v>
      </c>
      <c r="M65" s="342"/>
      <c r="N65" s="659">
        <v>-8404433.3485649787</v>
      </c>
      <c r="O65" s="342"/>
      <c r="P65" s="659">
        <v>-7651869.4066739334</v>
      </c>
      <c r="Q65" s="342"/>
      <c r="R65" s="659">
        <v>-7076077.0300156642</v>
      </c>
      <c r="S65" s="342"/>
      <c r="T65" s="659">
        <v>-6500284.6533573978</v>
      </c>
      <c r="U65" s="342"/>
      <c r="V65" s="659">
        <v>-5924492.2766991286</v>
      </c>
      <c r="W65" s="342"/>
      <c r="X65" s="659">
        <v>-5348699.9000408603</v>
      </c>
      <c r="Y65" s="342"/>
      <c r="Z65" s="659">
        <v>-4772907.523382592</v>
      </c>
    </row>
    <row r="66" spans="1:27" ht="30">
      <c r="A66" s="45">
        <f>+A65+1</f>
        <v>40</v>
      </c>
      <c r="B66" s="445" t="s">
        <v>884</v>
      </c>
      <c r="C66" s="445"/>
      <c r="D66" s="445"/>
      <c r="E66" s="732">
        <f>+E64+E65</f>
        <v>-123376070.92345457</v>
      </c>
      <c r="F66" s="716"/>
      <c r="G66" s="732">
        <f>+G64+G65</f>
        <v>-155293352.3538343</v>
      </c>
      <c r="H66" s="733"/>
      <c r="I66" s="732">
        <f>+I64+I65</f>
        <v>-44743066.313088328</v>
      </c>
      <c r="J66" s="716"/>
      <c r="K66" s="716"/>
      <c r="L66" s="732">
        <f>+L64+L65</f>
        <v>-44743066.313088328</v>
      </c>
      <c r="M66" s="716"/>
      <c r="N66" s="732">
        <f>+N64+N65</f>
        <v>-40918231.18364276</v>
      </c>
      <c r="O66" s="41"/>
      <c r="P66" s="732">
        <f>+P64+P65</f>
        <v>-37869778.689489715</v>
      </c>
      <c r="Q66" s="41"/>
      <c r="R66" s="732">
        <f>+R64+R65</f>
        <v>-34242666.229212239</v>
      </c>
      <c r="S66" s="41"/>
      <c r="T66" s="732">
        <f>+T64+T65</f>
        <v>-30591719.768934779</v>
      </c>
      <c r="U66" s="41"/>
      <c r="V66" s="732">
        <f>+V64+V65</f>
        <v>-27135616.308657307</v>
      </c>
      <c r="W66" s="41"/>
      <c r="X66" s="732">
        <f>+X64+X65</f>
        <v>-24234259.848379839</v>
      </c>
      <c r="Y66" s="41"/>
      <c r="Z66" s="732">
        <f>+Z64+Z65</f>
        <v>-21332903.388102371</v>
      </c>
    </row>
    <row r="67" spans="1:27" ht="15">
      <c r="A67" s="45"/>
      <c r="B67" s="445"/>
      <c r="C67" s="445"/>
      <c r="D67" s="445"/>
      <c r="E67" s="716"/>
      <c r="F67" s="716"/>
      <c r="G67" s="716"/>
      <c r="H67" s="443"/>
      <c r="I67" s="716"/>
      <c r="J67" s="716"/>
      <c r="K67" s="716"/>
      <c r="L67" s="716"/>
      <c r="M67" s="716"/>
      <c r="N67" s="716"/>
      <c r="O67" s="41"/>
      <c r="P67" s="716"/>
      <c r="Q67" s="41"/>
      <c r="R67" s="716"/>
      <c r="S67" s="41"/>
      <c r="T67" s="716"/>
      <c r="U67" s="41"/>
      <c r="V67" s="716"/>
      <c r="W67" s="41"/>
      <c r="X67" s="716"/>
      <c r="Y67" s="41"/>
      <c r="Z67" s="716"/>
    </row>
    <row r="68" spans="1:27" ht="15">
      <c r="A68" s="45">
        <f>+A66+1</f>
        <v>41</v>
      </c>
      <c r="B68" s="445" t="s">
        <v>432</v>
      </c>
      <c r="C68" s="445"/>
      <c r="D68" s="445"/>
      <c r="E68" s="716">
        <f>+E40+E66</f>
        <v>-119471996.92345457</v>
      </c>
      <c r="F68" s="716"/>
      <c r="G68" s="716">
        <f>+G40+G66</f>
        <v>-150351486.53104949</v>
      </c>
      <c r="H68" s="443"/>
      <c r="I68" s="716">
        <f>+I40+I66</f>
        <v>-44118072.387898453</v>
      </c>
      <c r="J68" s="716"/>
      <c r="K68" s="716"/>
      <c r="L68" s="716">
        <f>+L40+L66</f>
        <v>-44118072.387898453</v>
      </c>
      <c r="M68" s="716"/>
      <c r="N68" s="716">
        <f>+N40+N66</f>
        <v>-40355736.650971875</v>
      </c>
      <c r="O68" s="41"/>
      <c r="P68" s="716">
        <f>+P40+P66</f>
        <v>-37369783.549337819</v>
      </c>
      <c r="Q68" s="41"/>
      <c r="R68" s="716">
        <f>+R40+R66</f>
        <v>-33842670.117090717</v>
      </c>
      <c r="S68" s="41"/>
      <c r="T68" s="716">
        <f>+T40+T66</f>
        <v>-30291722.684843641</v>
      </c>
      <c r="U68" s="41"/>
      <c r="V68" s="716">
        <f>+V40+V66</f>
        <v>-26881207.930780649</v>
      </c>
      <c r="W68" s="41"/>
      <c r="X68" s="716">
        <f>+X40+X66</f>
        <v>-24134260.820349459</v>
      </c>
      <c r="Y68" s="41"/>
      <c r="Z68" s="716">
        <f>+Z40+Z66</f>
        <v>-21332903.388102371</v>
      </c>
    </row>
    <row r="69" spans="1:27" ht="15">
      <c r="A69" s="45"/>
      <c r="B69" s="445"/>
      <c r="C69" s="445"/>
      <c r="D69" s="445"/>
      <c r="E69" s="716"/>
      <c r="F69" s="716"/>
      <c r="G69" s="716"/>
      <c r="H69" s="443"/>
      <c r="I69" s="716"/>
      <c r="J69" s="716"/>
      <c r="K69" s="716"/>
      <c r="L69" s="716"/>
      <c r="M69" s="716"/>
      <c r="N69" s="716"/>
      <c r="O69" s="41"/>
      <c r="P69" s="716"/>
      <c r="Q69" s="716"/>
      <c r="R69" s="716"/>
      <c r="S69" s="617"/>
      <c r="T69" s="617"/>
      <c r="U69" s="617"/>
      <c r="V69" s="617"/>
      <c r="W69" s="617"/>
      <c r="X69" s="617"/>
    </row>
    <row r="70" spans="1:27" ht="15">
      <c r="A70" s="45">
        <f>+A68+1</f>
        <v>42</v>
      </c>
      <c r="B70" s="45" t="s">
        <v>885</v>
      </c>
      <c r="C70" s="45"/>
      <c r="D70" s="45"/>
      <c r="E70" s="45"/>
      <c r="F70" s="45"/>
      <c r="G70" s="45"/>
      <c r="H70" s="45"/>
      <c r="I70" s="45"/>
      <c r="J70" s="45"/>
      <c r="K70" s="45"/>
      <c r="L70" s="45"/>
      <c r="M70" s="342">
        <f>+M38+M64</f>
        <v>-2993178.0321720005</v>
      </c>
      <c r="N70" s="45"/>
      <c r="O70" s="342">
        <f>+O38+O64</f>
        <v>-2246514.032172</v>
      </c>
      <c r="P70" s="45"/>
      <c r="Q70" s="342">
        <f>+Q38+Q64</f>
        <v>-2972320.8514752002</v>
      </c>
      <c r="S70" s="342">
        <f>+S38+S64</f>
        <v>-2996154.8514752002</v>
      </c>
      <c r="U70" s="342">
        <f>+U38+U64</f>
        <v>-2801311.8514752002</v>
      </c>
      <c r="W70" s="342">
        <f>+W38+W64</f>
        <v>-2246564.8514752002</v>
      </c>
      <c r="Y70" s="342">
        <f>+Y38+Y64</f>
        <v>-2246564.8514752002</v>
      </c>
      <c r="AA70" s="342"/>
    </row>
    <row r="71" spans="1:27" ht="15">
      <c r="A71" s="45"/>
      <c r="B71" s="45"/>
      <c r="C71" s="45"/>
      <c r="D71" s="45"/>
      <c r="E71" s="45"/>
      <c r="F71" s="45"/>
      <c r="G71" s="45"/>
      <c r="H71" s="45"/>
      <c r="I71" s="45"/>
      <c r="J71" s="45"/>
      <c r="K71" s="45"/>
      <c r="L71" s="45"/>
      <c r="M71" s="45"/>
      <c r="N71" s="45"/>
      <c r="O71" s="45"/>
      <c r="P71" s="342"/>
    </row>
    <row r="72" spans="1:27" ht="15">
      <c r="A72" s="45"/>
      <c r="B72" s="933" t="s">
        <v>886</v>
      </c>
      <c r="C72" s="933"/>
      <c r="D72" s="933"/>
      <c r="E72" s="933"/>
      <c r="F72" s="933"/>
      <c r="G72" s="933"/>
      <c r="H72" s="933"/>
      <c r="I72" s="933"/>
      <c r="J72" s="933"/>
      <c r="K72" s="933"/>
      <c r="L72" s="933"/>
      <c r="M72" s="45"/>
      <c r="N72" s="45"/>
      <c r="O72" s="45"/>
      <c r="P72" s="45"/>
    </row>
    <row r="73" spans="1:27" ht="15">
      <c r="A73" s="45"/>
      <c r="B73" s="45" t="s">
        <v>887</v>
      </c>
      <c r="C73" s="45"/>
      <c r="D73" s="45"/>
      <c r="E73" s="45"/>
      <c r="F73" s="45"/>
      <c r="G73" s="45"/>
      <c r="H73" s="45"/>
      <c r="I73" s="45"/>
      <c r="J73" s="45"/>
      <c r="K73" s="45"/>
      <c r="L73" s="45"/>
      <c r="M73" s="45"/>
      <c r="N73" s="45"/>
      <c r="O73" s="45"/>
      <c r="P73" s="45"/>
    </row>
    <row r="74" spans="1:27" ht="15">
      <c r="A74" s="45"/>
      <c r="B74" s="933" t="s">
        <v>888</v>
      </c>
      <c r="C74" s="933"/>
      <c r="D74" s="933"/>
      <c r="E74" s="933"/>
      <c r="F74" s="933"/>
      <c r="G74" s="933"/>
      <c r="H74" s="933"/>
      <c r="I74" s="933"/>
      <c r="J74" s="933"/>
      <c r="K74" s="933"/>
      <c r="L74" s="933"/>
      <c r="M74" s="45"/>
      <c r="N74" s="45"/>
      <c r="O74" s="45"/>
      <c r="P74" s="45"/>
    </row>
    <row r="75" spans="1:27" ht="15">
      <c r="A75" s="45"/>
      <c r="B75" s="45" t="s">
        <v>889</v>
      </c>
      <c r="C75" s="45"/>
      <c r="D75" s="45"/>
      <c r="E75" s="45"/>
      <c r="F75" s="45"/>
      <c r="G75" s="45"/>
      <c r="H75" s="45"/>
      <c r="I75" s="45"/>
      <c r="J75" s="45"/>
      <c r="K75" s="45"/>
      <c r="L75" s="45"/>
      <c r="M75" s="45"/>
      <c r="N75" s="45"/>
      <c r="O75" s="45"/>
      <c r="P75" s="45"/>
    </row>
    <row r="76" spans="1:27" ht="15">
      <c r="A76" s="45"/>
      <c r="B76" s="45" t="s">
        <v>890</v>
      </c>
      <c r="C76" s="45"/>
      <c r="D76" s="45"/>
      <c r="E76" s="45"/>
      <c r="F76" s="45"/>
      <c r="G76" s="45"/>
      <c r="H76" s="45"/>
      <c r="I76" s="45"/>
      <c r="J76" s="45"/>
      <c r="K76" s="45"/>
      <c r="L76" s="45"/>
      <c r="M76" s="45"/>
      <c r="N76" s="45"/>
      <c r="O76" s="45"/>
      <c r="P76" s="45"/>
    </row>
    <row r="77" spans="1:27" ht="15">
      <c r="A77" s="45"/>
      <c r="B77" s="45" t="s">
        <v>891</v>
      </c>
      <c r="C77" s="45"/>
      <c r="D77" s="45"/>
      <c r="E77" s="45"/>
      <c r="F77" s="45"/>
      <c r="G77" s="45"/>
      <c r="H77" s="45"/>
      <c r="I77" s="45"/>
      <c r="J77" s="45"/>
      <c r="K77" s="45"/>
      <c r="L77" s="45"/>
      <c r="M77" s="45"/>
      <c r="N77" s="45"/>
      <c r="O77" s="45"/>
      <c r="P77" s="45"/>
    </row>
    <row r="78" spans="1:27" ht="15">
      <c r="A78" s="45"/>
      <c r="B78" s="45"/>
      <c r="C78" s="45"/>
      <c r="D78" s="45"/>
      <c r="E78" s="45" t="s">
        <v>892</v>
      </c>
      <c r="F78" s="45"/>
      <c r="G78" s="45"/>
      <c r="H78" s="45"/>
      <c r="I78" s="462">
        <v>0.21</v>
      </c>
      <c r="J78" s="462"/>
      <c r="K78" s="45"/>
      <c r="L78" s="45"/>
      <c r="M78" s="45"/>
      <c r="N78" s="45"/>
      <c r="O78" s="45"/>
      <c r="P78" s="45"/>
    </row>
    <row r="79" spans="1:27" ht="15">
      <c r="A79" s="45"/>
      <c r="B79" s="45"/>
      <c r="C79" s="45"/>
      <c r="D79" s="45"/>
      <c r="E79" s="45" t="s">
        <v>893</v>
      </c>
      <c r="F79" s="45"/>
      <c r="G79" s="45"/>
      <c r="H79" s="45"/>
      <c r="I79" s="462">
        <v>0.35</v>
      </c>
      <c r="J79" s="462"/>
      <c r="K79" s="45"/>
      <c r="L79" s="45"/>
      <c r="M79" s="45"/>
      <c r="N79" s="45"/>
      <c r="O79" s="45"/>
      <c r="P79" s="45"/>
    </row>
    <row r="80" spans="1:27" ht="15">
      <c r="A80" s="45"/>
      <c r="B80" s="45"/>
      <c r="C80" s="45"/>
      <c r="D80" s="45"/>
      <c r="E80" s="45" t="s">
        <v>894</v>
      </c>
      <c r="F80" s="45"/>
      <c r="G80" s="45"/>
      <c r="H80" s="45"/>
      <c r="I80" s="462">
        <f>+I78/I79</f>
        <v>0.6</v>
      </c>
      <c r="J80" s="462"/>
      <c r="K80" s="45"/>
      <c r="L80" s="45"/>
      <c r="M80" s="45"/>
      <c r="N80" s="45"/>
      <c r="O80" s="45"/>
      <c r="P80" s="45"/>
    </row>
    <row r="81" spans="1:16" ht="15">
      <c r="A81" s="45"/>
      <c r="B81" s="45"/>
      <c r="C81" s="45"/>
      <c r="D81" s="45"/>
      <c r="E81" s="45"/>
      <c r="F81" s="45"/>
      <c r="G81" s="45"/>
      <c r="H81" s="45"/>
      <c r="I81" s="45"/>
      <c r="J81" s="45"/>
      <c r="K81" s="45"/>
      <c r="L81" s="45"/>
      <c r="M81" s="45"/>
      <c r="N81" s="45"/>
      <c r="O81" s="45"/>
      <c r="P81" s="45"/>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pageSetUpPr fitToPage="1"/>
  </sheetPr>
  <dimension ref="A1:W24"/>
  <sheetViews>
    <sheetView zoomScaleNormal="100" zoomScaleSheetLayoutView="90" workbookViewId="0">
      <selection activeCell="B4" sqref="B4:M4"/>
    </sheetView>
  </sheetViews>
  <sheetFormatPr defaultRowHeight="12.75"/>
  <cols>
    <col min="1" max="1" width="3.28515625" customWidth="1"/>
    <col min="6" max="6" width="12.140625" customWidth="1"/>
    <col min="7" max="7" width="13.7109375" customWidth="1"/>
    <col min="8" max="8" width="13.140625" customWidth="1"/>
    <col min="9" max="9" width="12.5703125" customWidth="1"/>
    <col min="10" max="10" width="12.85546875" customWidth="1"/>
    <col min="11" max="11" width="13.140625" customWidth="1"/>
    <col min="12" max="12" width="11.7109375" customWidth="1"/>
    <col min="13" max="13" width="13.7109375" customWidth="1"/>
    <col min="14" max="14" width="13.28515625" customWidth="1"/>
    <col min="15" max="15" width="13.140625" customWidth="1"/>
    <col min="16" max="16" width="12.85546875" customWidth="1"/>
    <col min="17" max="17" width="12.42578125" customWidth="1"/>
    <col min="18" max="18" width="13.42578125" customWidth="1"/>
    <col min="19" max="19" width="13.140625" customWidth="1"/>
    <col min="20" max="20" width="5" customWidth="1"/>
    <col min="21" max="21" width="11.85546875" customWidth="1"/>
    <col min="22" max="22" width="10.7109375" customWidth="1"/>
    <col min="23" max="23" width="10.85546875" customWidth="1"/>
  </cols>
  <sheetData>
    <row r="1" spans="1:23" ht="21.75" customHeight="1">
      <c r="B1" s="890" t="str">
        <f>+'9 - Excess ADIT'!I2</f>
        <v>Dayton Power and Light</v>
      </c>
      <c r="C1" s="890"/>
      <c r="D1" s="890"/>
      <c r="E1" s="890"/>
      <c r="F1" s="890"/>
      <c r="G1" s="890"/>
      <c r="H1" s="890"/>
      <c r="I1" s="890"/>
      <c r="J1" s="890"/>
      <c r="K1" s="890"/>
      <c r="L1" s="890"/>
      <c r="M1" s="890"/>
    </row>
    <row r="2" spans="1:23" ht="18" customHeight="1">
      <c r="B2" s="890" t="str">
        <f>+'9 - Excess ADIT'!I3</f>
        <v xml:space="preserve">ATTACHMENT H-15A </v>
      </c>
      <c r="C2" s="890"/>
      <c r="D2" s="890"/>
      <c r="E2" s="890"/>
      <c r="F2" s="890"/>
      <c r="G2" s="890"/>
      <c r="H2" s="890"/>
      <c r="I2" s="890"/>
      <c r="J2" s="890"/>
      <c r="K2" s="890"/>
      <c r="L2" s="890"/>
      <c r="M2" s="890"/>
      <c r="Q2" s="632"/>
    </row>
    <row r="3" spans="1:23" ht="18">
      <c r="B3" s="890" t="s">
        <v>895</v>
      </c>
      <c r="C3" s="890"/>
      <c r="D3" s="890"/>
      <c r="E3" s="890"/>
      <c r="F3" s="890"/>
      <c r="G3" s="890"/>
      <c r="H3" s="890"/>
      <c r="I3" s="890"/>
      <c r="J3" s="890"/>
      <c r="K3" s="890"/>
      <c r="L3" s="890"/>
      <c r="M3" s="890"/>
      <c r="N3" s="178"/>
      <c r="O3" s="178"/>
    </row>
    <row r="4" spans="1:23" ht="18">
      <c r="B4" s="935">
        <v>45657</v>
      </c>
      <c r="C4" s="890"/>
      <c r="D4" s="890"/>
      <c r="E4" s="890"/>
      <c r="F4" s="890"/>
      <c r="G4" s="890"/>
      <c r="H4" s="890"/>
      <c r="I4" s="890"/>
      <c r="J4" s="890"/>
      <c r="K4" s="890"/>
      <c r="L4" s="890"/>
      <c r="M4" s="890"/>
      <c r="N4" s="178"/>
      <c r="O4" s="178"/>
    </row>
    <row r="5" spans="1:23" ht="18">
      <c r="H5" s="58"/>
      <c r="I5" s="178"/>
      <c r="J5" s="178"/>
      <c r="K5" s="178"/>
      <c r="L5" s="178"/>
      <c r="M5" s="178"/>
      <c r="N5" s="178"/>
      <c r="O5" s="178"/>
    </row>
    <row r="6" spans="1:23" ht="18">
      <c r="B6" s="71" t="s">
        <v>411</v>
      </c>
      <c r="I6" s="178"/>
      <c r="J6" s="178"/>
      <c r="K6" s="178"/>
      <c r="L6" s="178"/>
      <c r="M6" s="178"/>
      <c r="N6" s="178"/>
      <c r="O6" s="178"/>
    </row>
    <row r="7" spans="1:23" ht="13.5" thickBot="1"/>
    <row r="8" spans="1:23" ht="13.5" thickBot="1">
      <c r="B8" s="354" t="s">
        <v>896</v>
      </c>
      <c r="C8" s="354"/>
      <c r="D8" s="354"/>
      <c r="E8" s="354"/>
      <c r="F8" s="354"/>
      <c r="G8" s="354"/>
      <c r="H8" s="354"/>
      <c r="I8" s="354"/>
      <c r="J8" s="354"/>
      <c r="K8" s="354"/>
      <c r="L8" s="354"/>
      <c r="M8" s="354"/>
      <c r="U8" s="703"/>
      <c r="V8" s="707" t="s">
        <v>897</v>
      </c>
      <c r="W8" s="708" t="s">
        <v>898</v>
      </c>
    </row>
    <row r="9" spans="1:23" ht="13.5" thickBot="1">
      <c r="B9" s="354"/>
      <c r="C9" s="354"/>
      <c r="D9" s="354"/>
      <c r="E9" s="354"/>
      <c r="F9" s="702" t="s">
        <v>969</v>
      </c>
      <c r="G9" s="699" t="s">
        <v>496</v>
      </c>
      <c r="H9" s="699" t="s">
        <v>497</v>
      </c>
      <c r="I9" s="699" t="s">
        <v>498</v>
      </c>
      <c r="J9" s="699" t="s">
        <v>499</v>
      </c>
      <c r="K9" s="699" t="s">
        <v>374</v>
      </c>
      <c r="L9" s="699" t="s">
        <v>500</v>
      </c>
      <c r="M9" s="699" t="s">
        <v>501</v>
      </c>
      <c r="N9" s="699" t="s">
        <v>502</v>
      </c>
      <c r="O9" s="699" t="s">
        <v>503</v>
      </c>
      <c r="P9" s="699" t="s">
        <v>504</v>
      </c>
      <c r="Q9" s="699" t="s">
        <v>505</v>
      </c>
      <c r="R9" s="699" t="s">
        <v>506</v>
      </c>
      <c r="S9" s="700" t="s">
        <v>507</v>
      </c>
      <c r="T9" s="701"/>
      <c r="U9" s="704" t="s">
        <v>271</v>
      </c>
      <c r="V9" s="705" t="s">
        <v>431</v>
      </c>
      <c r="W9" s="706" t="s">
        <v>431</v>
      </c>
    </row>
    <row r="10" spans="1:23">
      <c r="B10" s="455" t="s">
        <v>899</v>
      </c>
      <c r="C10" s="354"/>
      <c r="D10" s="354"/>
      <c r="E10" s="354"/>
      <c r="F10" s="354"/>
      <c r="G10" s="354"/>
      <c r="H10" s="354"/>
      <c r="I10" s="354"/>
      <c r="J10" s="354"/>
      <c r="K10" s="354"/>
      <c r="L10" s="354"/>
      <c r="M10" s="354"/>
      <c r="V10" s="734">
        <f>+'Appendix A'!H16</f>
        <v>0.12508709030780155</v>
      </c>
      <c r="W10" s="734">
        <f>+'Appendix A'!H24</f>
        <v>0.23491574602507961</v>
      </c>
    </row>
    <row r="11" spans="1:23">
      <c r="B11" s="354"/>
      <c r="C11" s="354"/>
      <c r="D11" s="354"/>
      <c r="E11" s="354"/>
      <c r="F11" s="354"/>
      <c r="G11" s="354"/>
      <c r="H11" s="354"/>
      <c r="I11" s="354"/>
      <c r="J11" s="354"/>
      <c r="K11" s="354"/>
      <c r="L11" s="354"/>
      <c r="M11" s="354"/>
    </row>
    <row r="12" spans="1:23">
      <c r="A12">
        <v>1</v>
      </c>
      <c r="B12" s="354" t="s">
        <v>900</v>
      </c>
      <c r="C12" s="354"/>
      <c r="D12" s="354"/>
      <c r="E12" s="354"/>
      <c r="F12" s="809">
        <v>-1272057</v>
      </c>
      <c r="G12" s="809">
        <v>-1691595</v>
      </c>
      <c r="H12" s="809">
        <v>-1712389</v>
      </c>
      <c r="I12" s="809">
        <v>-2114560</v>
      </c>
      <c r="J12" s="809">
        <v>-2399022</v>
      </c>
      <c r="K12" s="809">
        <v>-2893079</v>
      </c>
      <c r="L12" s="809">
        <v>-1734977</v>
      </c>
      <c r="M12" s="809">
        <v>-1481858</v>
      </c>
      <c r="N12" s="809">
        <v>-2058141</v>
      </c>
      <c r="O12" s="809">
        <v>-2434463</v>
      </c>
      <c r="P12" s="809">
        <v>-2896826</v>
      </c>
      <c r="Q12" s="809">
        <v>-1678339</v>
      </c>
      <c r="R12" s="809">
        <v>-1420256</v>
      </c>
      <c r="S12" s="613">
        <f>+AVERAGE(F12:R12)</f>
        <v>-1983658.6153846155</v>
      </c>
      <c r="T12" s="617"/>
      <c r="U12" s="617">
        <f>+S12</f>
        <v>-1983658.6153846155</v>
      </c>
      <c r="V12" s="617"/>
      <c r="W12" s="617"/>
    </row>
    <row r="13" spans="1:23">
      <c r="B13" s="354"/>
      <c r="C13" s="354"/>
      <c r="D13" s="354"/>
      <c r="E13" s="354"/>
      <c r="F13" s="613"/>
      <c r="G13" s="613"/>
      <c r="H13" s="613"/>
      <c r="I13" s="613"/>
      <c r="J13" s="613"/>
      <c r="K13" s="613"/>
      <c r="L13" s="613"/>
      <c r="M13" s="613"/>
      <c r="N13" s="354"/>
      <c r="O13" s="354"/>
      <c r="P13" s="354"/>
      <c r="Q13" s="354"/>
      <c r="R13" s="354"/>
      <c r="S13" s="613"/>
      <c r="T13" s="617"/>
      <c r="U13" s="617"/>
      <c r="V13" s="617"/>
      <c r="W13" s="617"/>
    </row>
    <row r="14" spans="1:23">
      <c r="A14">
        <f>+A12+1</f>
        <v>2</v>
      </c>
      <c r="B14" s="354" t="s">
        <v>901</v>
      </c>
      <c r="C14" s="354"/>
      <c r="D14" s="354"/>
      <c r="E14" s="354"/>
      <c r="F14" s="809">
        <v>-12164631</v>
      </c>
      <c r="G14" s="809">
        <v>-11441808</v>
      </c>
      <c r="H14" s="809">
        <v>-12126682</v>
      </c>
      <c r="I14" s="809">
        <v>-9281904</v>
      </c>
      <c r="J14" s="809">
        <v>-9549884</v>
      </c>
      <c r="K14" s="809">
        <v>-9864826</v>
      </c>
      <c r="L14" s="809">
        <v>-10030549</v>
      </c>
      <c r="M14" s="809">
        <v>-10482314</v>
      </c>
      <c r="N14" s="809">
        <v>-10626582</v>
      </c>
      <c r="O14" s="809">
        <v>-10854014</v>
      </c>
      <c r="P14" s="809">
        <v>-11304876</v>
      </c>
      <c r="Q14" s="809">
        <v>-10875281</v>
      </c>
      <c r="R14" s="809">
        <v>-10894650</v>
      </c>
      <c r="S14" s="613">
        <f>+AVERAGE(F14:R14)</f>
        <v>-10730615.461538462</v>
      </c>
      <c r="T14" s="617"/>
      <c r="U14" s="617"/>
      <c r="V14" s="617">
        <f>+S14*V10</f>
        <v>-1342261.4652957532</v>
      </c>
      <c r="W14" s="617"/>
    </row>
    <row r="15" spans="1:23">
      <c r="B15" s="354"/>
      <c r="C15" s="354"/>
      <c r="D15" s="354"/>
      <c r="E15" s="354"/>
      <c r="F15" s="613"/>
      <c r="G15" s="613"/>
      <c r="H15" s="613"/>
      <c r="I15" s="613"/>
      <c r="J15" s="613"/>
      <c r="K15" s="613"/>
      <c r="L15" s="613"/>
      <c r="M15" s="613"/>
      <c r="N15" s="354"/>
      <c r="O15" s="354"/>
      <c r="P15" s="354"/>
      <c r="Q15" s="354"/>
      <c r="R15" s="354"/>
      <c r="S15" s="613"/>
      <c r="T15" s="617"/>
      <c r="U15" s="617"/>
      <c r="V15" s="617"/>
      <c r="W15" s="617"/>
    </row>
    <row r="16" spans="1:23">
      <c r="A16">
        <f>+A14+1</f>
        <v>3</v>
      </c>
      <c r="B16" s="354" t="s">
        <v>902</v>
      </c>
      <c r="C16" s="354"/>
      <c r="D16" s="354"/>
      <c r="E16" s="354"/>
      <c r="F16" s="809">
        <v>43796</v>
      </c>
      <c r="G16" s="809">
        <v>-2934419</v>
      </c>
      <c r="H16" s="809">
        <v>-1998485</v>
      </c>
      <c r="I16" s="809">
        <v>-686649</v>
      </c>
      <c r="J16" s="809">
        <v>45817</v>
      </c>
      <c r="K16" s="809">
        <v>-1537719</v>
      </c>
      <c r="L16" s="809">
        <v>-767794</v>
      </c>
      <c r="M16" s="809">
        <v>19781</v>
      </c>
      <c r="N16" s="809">
        <v>-721603</v>
      </c>
      <c r="O16" s="809">
        <v>-1054448</v>
      </c>
      <c r="P16" s="809">
        <v>-1669565</v>
      </c>
      <c r="Q16" s="809">
        <v>-696013</v>
      </c>
      <c r="R16" s="809">
        <v>0</v>
      </c>
      <c r="S16" s="613">
        <f>+AVERAGE(F16:R16)</f>
        <v>-919792.38461538462</v>
      </c>
      <c r="T16" s="617"/>
      <c r="U16" s="617">
        <f>+S16</f>
        <v>-919792.38461538462</v>
      </c>
      <c r="V16" s="617"/>
      <c r="W16" s="617"/>
    </row>
    <row r="17" spans="1:23">
      <c r="B17" s="354"/>
      <c r="C17" s="354"/>
      <c r="D17" s="354"/>
      <c r="E17" s="354"/>
      <c r="F17" s="613"/>
      <c r="G17" s="613"/>
      <c r="H17" s="613"/>
      <c r="I17" s="613"/>
      <c r="J17" s="613"/>
      <c r="K17" s="613"/>
      <c r="L17" s="613"/>
      <c r="M17" s="613"/>
      <c r="N17" s="354"/>
      <c r="O17" s="354"/>
      <c r="P17" s="354"/>
      <c r="Q17" s="354"/>
      <c r="R17" s="354"/>
      <c r="S17" s="613"/>
      <c r="T17" s="617"/>
      <c r="U17" s="617"/>
      <c r="V17" s="617"/>
      <c r="W17" s="617"/>
    </row>
    <row r="18" spans="1:23">
      <c r="A18">
        <f>+A16+1</f>
        <v>4</v>
      </c>
      <c r="B18" s="354" t="s">
        <v>294</v>
      </c>
      <c r="C18" s="354"/>
      <c r="D18" s="354"/>
      <c r="E18" s="354"/>
      <c r="F18" s="810">
        <v>-2998166</v>
      </c>
      <c r="G18" s="810">
        <v>-3759979</v>
      </c>
      <c r="H18" s="810">
        <v>-3901483</v>
      </c>
      <c r="I18" s="810">
        <v>-2939860</v>
      </c>
      <c r="J18" s="810">
        <v>-2431482</v>
      </c>
      <c r="K18" s="810">
        <v>-2883358</v>
      </c>
      <c r="L18" s="810">
        <v>-2946366</v>
      </c>
      <c r="M18" s="810">
        <v>-3083427</v>
      </c>
      <c r="N18" s="810">
        <v>-3509123</v>
      </c>
      <c r="O18" s="810">
        <v>-2814197</v>
      </c>
      <c r="P18" s="810">
        <v>-2256730</v>
      </c>
      <c r="Q18" s="810">
        <v>-2237626</v>
      </c>
      <c r="R18" s="810">
        <v>-5913794</v>
      </c>
      <c r="S18" s="613">
        <f>+AVERAGE(F18:R18)</f>
        <v>-3205814.6923076925</v>
      </c>
      <c r="T18" s="617"/>
      <c r="U18" s="617">
        <f>+S18</f>
        <v>-3205814.6923076925</v>
      </c>
      <c r="V18" s="617"/>
      <c r="W18" s="617"/>
    </row>
    <row r="19" spans="1:23">
      <c r="B19" s="354"/>
      <c r="C19" s="354"/>
      <c r="D19" s="354"/>
      <c r="E19" s="354"/>
      <c r="F19" s="613"/>
      <c r="G19" s="613"/>
      <c r="H19" s="613"/>
      <c r="I19" s="613"/>
      <c r="J19" s="613"/>
      <c r="K19" s="613"/>
      <c r="L19" s="613"/>
      <c r="M19" s="613"/>
      <c r="S19" s="617"/>
      <c r="T19" s="617"/>
      <c r="U19" s="617"/>
      <c r="V19" s="617"/>
      <c r="W19" s="617"/>
    </row>
    <row r="20" spans="1:23">
      <c r="A20">
        <f>+A18+1</f>
        <v>5</v>
      </c>
      <c r="B20" s="354" t="s">
        <v>67</v>
      </c>
      <c r="C20" s="354"/>
      <c r="D20" s="354"/>
      <c r="E20" s="354"/>
      <c r="F20" s="613">
        <f>+SUM(F12:F18)</f>
        <v>-16391058</v>
      </c>
      <c r="G20" s="613">
        <f t="shared" ref="G20:R20" si="0">+SUM(G12:G18)</f>
        <v>-19827801</v>
      </c>
      <c r="H20" s="613">
        <f t="shared" si="0"/>
        <v>-19739039</v>
      </c>
      <c r="I20" s="613">
        <f t="shared" si="0"/>
        <v>-15022973</v>
      </c>
      <c r="J20" s="613">
        <f t="shared" si="0"/>
        <v>-14334571</v>
      </c>
      <c r="K20" s="613">
        <f t="shared" si="0"/>
        <v>-17178982</v>
      </c>
      <c r="L20" s="613">
        <f t="shared" si="0"/>
        <v>-15479686</v>
      </c>
      <c r="M20" s="613">
        <f t="shared" si="0"/>
        <v>-15027818</v>
      </c>
      <c r="N20" s="613">
        <f t="shared" si="0"/>
        <v>-16915449</v>
      </c>
      <c r="O20" s="613">
        <f t="shared" si="0"/>
        <v>-17157122</v>
      </c>
      <c r="P20" s="613">
        <f t="shared" si="0"/>
        <v>-18127997</v>
      </c>
      <c r="Q20" s="613">
        <f t="shared" si="0"/>
        <v>-15487259</v>
      </c>
      <c r="R20" s="613">
        <f t="shared" si="0"/>
        <v>-18228700</v>
      </c>
      <c r="S20" s="624">
        <f>+SUM(F20:R20)/13</f>
        <v>-16839881.153846152</v>
      </c>
      <c r="T20" s="617"/>
      <c r="U20" s="613">
        <f t="shared" ref="U20:W20" si="1">+SUM(U12:U18)</f>
        <v>-6109265.692307692</v>
      </c>
      <c r="V20" s="613">
        <f t="shared" si="1"/>
        <v>-1342261.4652957532</v>
      </c>
      <c r="W20" s="613">
        <f t="shared" si="1"/>
        <v>0</v>
      </c>
    </row>
    <row r="21" spans="1:23">
      <c r="B21" s="354"/>
      <c r="C21" s="354"/>
      <c r="D21" s="354"/>
      <c r="E21" s="354"/>
      <c r="F21" s="354"/>
      <c r="G21" s="354"/>
      <c r="H21" s="354"/>
      <c r="I21" s="354"/>
      <c r="J21" s="354"/>
      <c r="K21" s="354"/>
      <c r="L21" s="354"/>
      <c r="M21" s="354"/>
      <c r="S21" s="617"/>
      <c r="T21" s="617"/>
      <c r="U21" s="617"/>
      <c r="V21" s="617"/>
      <c r="W21" s="617"/>
    </row>
    <row r="22" spans="1:23">
      <c r="A22">
        <f>+A20+1</f>
        <v>6</v>
      </c>
      <c r="B22" s="354" t="s">
        <v>903</v>
      </c>
      <c r="C22" s="354"/>
      <c r="D22" s="354"/>
      <c r="E22" s="354"/>
      <c r="F22" s="470"/>
      <c r="G22" s="470"/>
      <c r="H22" s="470"/>
      <c r="I22" s="470"/>
      <c r="J22" s="470"/>
      <c r="K22" s="470"/>
      <c r="L22" s="354"/>
      <c r="M22" s="354"/>
      <c r="S22" s="617"/>
      <c r="T22" s="617"/>
      <c r="U22" s="617"/>
      <c r="V22" s="617"/>
      <c r="W22" s="617">
        <f>+W20+V20</f>
        <v>-1342261.4652957532</v>
      </c>
    </row>
    <row r="23" spans="1:23">
      <c r="B23" s="354"/>
      <c r="C23" s="354"/>
      <c r="D23" s="354"/>
      <c r="E23" s="354"/>
      <c r="F23" s="709"/>
      <c r="G23" s="495"/>
      <c r="H23" s="709"/>
      <c r="I23" s="495"/>
      <c r="J23" s="354"/>
      <c r="K23" s="354"/>
      <c r="L23" s="354"/>
      <c r="M23" s="354"/>
    </row>
    <row r="24" spans="1:23">
      <c r="B24" s="354"/>
      <c r="C24" s="354"/>
      <c r="D24" s="354"/>
      <c r="E24" s="354"/>
      <c r="F24" s="613"/>
      <c r="G24" s="613"/>
      <c r="H24" s="613"/>
      <c r="I24" s="613"/>
      <c r="J24" s="613"/>
      <c r="K24" s="613"/>
      <c r="L24" s="613"/>
      <c r="M24" s="620"/>
    </row>
  </sheetData>
  <mergeCells count="4">
    <mergeCell ref="B1:M1"/>
    <mergeCell ref="B2:M2"/>
    <mergeCell ref="B3:M3"/>
    <mergeCell ref="B4:M4"/>
  </mergeCells>
  <pageMargins left="0.7" right="0.7" top="0.75" bottom="0.75" header="0.3" footer="0.3"/>
  <pageSetup scale="71" orientation="landscape" verticalDpi="0"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pageSetUpPr fitToPage="1"/>
  </sheetPr>
  <dimension ref="A1:I127"/>
  <sheetViews>
    <sheetView zoomScale="90" zoomScaleNormal="90" zoomScaleSheetLayoutView="90" workbookViewId="0">
      <selection activeCell="K23" sqref="K23"/>
    </sheetView>
  </sheetViews>
  <sheetFormatPr defaultRowHeight="12.75"/>
  <cols>
    <col min="1" max="1" width="6.5703125" customWidth="1"/>
    <col min="2" max="2" width="63.28515625" customWidth="1"/>
    <col min="3" max="3" width="19.140625" customWidth="1"/>
    <col min="4" max="4" width="18.140625" bestFit="1" customWidth="1"/>
    <col min="5" max="5" width="2" customWidth="1"/>
    <col min="6" max="6" width="19.42578125" customWidth="1"/>
    <col min="7" max="7" width="1.7109375" customWidth="1"/>
    <col min="8" max="8" width="19" customWidth="1"/>
    <col min="9" max="9" width="19.7109375" customWidth="1"/>
  </cols>
  <sheetData>
    <row r="1" spans="1:9" ht="18">
      <c r="A1" s="937" t="str">
        <f>+'9 - Excess ADIT'!I2</f>
        <v>Dayton Power and Light</v>
      </c>
      <c r="B1" s="937"/>
      <c r="C1" s="937"/>
      <c r="D1" s="937"/>
      <c r="E1" s="937"/>
      <c r="F1" s="937"/>
      <c r="G1" s="937"/>
    </row>
    <row r="2" spans="1:9" ht="18">
      <c r="A2" s="892" t="str">
        <f>+'9 - Excess ADIT'!I3</f>
        <v xml:space="preserve">ATTACHMENT H-15A </v>
      </c>
      <c r="B2" s="892"/>
      <c r="C2" s="892"/>
      <c r="D2" s="892"/>
      <c r="E2" s="892"/>
      <c r="F2" s="892"/>
      <c r="G2" s="892"/>
    </row>
    <row r="3" spans="1:9" ht="18">
      <c r="A3" s="938" t="s">
        <v>1017</v>
      </c>
      <c r="B3" s="938"/>
      <c r="C3" s="938"/>
      <c r="D3" s="938"/>
      <c r="E3" s="938"/>
      <c r="F3" s="938"/>
      <c r="G3" s="938"/>
    </row>
    <row r="4" spans="1:9" ht="59.45" customHeight="1">
      <c r="A4" s="154"/>
      <c r="B4" s="45"/>
      <c r="C4" s="45"/>
      <c r="D4" s="45"/>
      <c r="E4" s="45"/>
      <c r="F4" s="522"/>
      <c r="G4" s="517"/>
      <c r="I4" s="627"/>
    </row>
    <row r="5" spans="1:9" ht="15.75">
      <c r="A5" s="154"/>
      <c r="B5" s="45"/>
      <c r="C5" s="45"/>
      <c r="D5" s="45"/>
      <c r="E5" s="45"/>
      <c r="F5" s="45"/>
      <c r="G5" s="517"/>
    </row>
    <row r="6" spans="1:9" ht="15.75">
      <c r="A6" s="154"/>
      <c r="B6" s="45" t="s">
        <v>411</v>
      </c>
      <c r="C6" s="45"/>
      <c r="D6" s="45"/>
      <c r="E6" s="45"/>
      <c r="F6" s="45"/>
      <c r="G6" s="517"/>
    </row>
    <row r="7" spans="1:9" ht="15.75">
      <c r="A7" s="521"/>
      <c r="B7" s="170"/>
      <c r="C7" s="521"/>
      <c r="D7" s="520" t="s">
        <v>336</v>
      </c>
      <c r="E7" s="521"/>
      <c r="F7" s="520" t="s">
        <v>337</v>
      </c>
      <c r="G7" s="524"/>
      <c r="H7" s="880" t="s">
        <v>338</v>
      </c>
    </row>
    <row r="8" spans="1:9" ht="15.75">
      <c r="A8" s="45"/>
      <c r="B8" s="45"/>
      <c r="C8" s="45"/>
      <c r="D8" s="45"/>
      <c r="E8" s="45"/>
      <c r="F8" s="59" t="s">
        <v>904</v>
      </c>
      <c r="G8" s="516"/>
      <c r="H8" s="59" t="s">
        <v>904</v>
      </c>
    </row>
    <row r="9" spans="1:9" ht="15.75">
      <c r="A9" s="45"/>
      <c r="B9" s="45"/>
      <c r="C9" s="45"/>
      <c r="D9" s="59" t="s">
        <v>905</v>
      </c>
      <c r="E9" s="45"/>
      <c r="F9" s="519">
        <v>2020</v>
      </c>
      <c r="G9" s="517"/>
      <c r="H9" s="519">
        <v>2021</v>
      </c>
    </row>
    <row r="10" spans="1:9" ht="15.75">
      <c r="A10" s="59" t="s">
        <v>826</v>
      </c>
      <c r="B10" s="45"/>
      <c r="C10" s="45"/>
      <c r="D10" s="59" t="s">
        <v>906</v>
      </c>
      <c r="E10" s="45"/>
      <c r="F10" s="59" t="s">
        <v>905</v>
      </c>
      <c r="G10" s="517"/>
      <c r="H10" s="59" t="s">
        <v>905</v>
      </c>
    </row>
    <row r="11" spans="1:9" ht="15.75">
      <c r="A11" s="53" t="s">
        <v>907</v>
      </c>
      <c r="B11" s="52" t="s">
        <v>770</v>
      </c>
      <c r="C11" s="53" t="s">
        <v>908</v>
      </c>
      <c r="D11" s="53" t="s">
        <v>909</v>
      </c>
      <c r="E11" s="45"/>
      <c r="F11" s="53" t="s">
        <v>910</v>
      </c>
      <c r="G11" s="517"/>
      <c r="H11" s="53" t="s">
        <v>910</v>
      </c>
    </row>
    <row r="12" spans="1:9" ht="15.75">
      <c r="A12" s="45"/>
      <c r="B12" s="45"/>
      <c r="C12" s="45"/>
      <c r="D12" s="45"/>
      <c r="E12" s="45"/>
      <c r="F12" s="53"/>
      <c r="G12" s="517"/>
      <c r="H12" s="53"/>
    </row>
    <row r="13" spans="1:9" ht="15.75">
      <c r="A13" s="518">
        <v>1</v>
      </c>
      <c r="B13" s="515" t="s">
        <v>911</v>
      </c>
      <c r="C13" s="530"/>
      <c r="D13" s="5"/>
      <c r="E13" s="5"/>
      <c r="F13" s="514"/>
      <c r="G13" s="517"/>
      <c r="H13" s="514"/>
    </row>
    <row r="14" spans="1:9" ht="15.75">
      <c r="A14" s="518">
        <f>+A13+1</f>
        <v>2</v>
      </c>
      <c r="B14" s="45" t="s">
        <v>912</v>
      </c>
      <c r="C14" s="530"/>
      <c r="D14" s="5"/>
      <c r="E14" s="5"/>
      <c r="F14" s="625">
        <v>42432002</v>
      </c>
      <c r="G14" s="517"/>
      <c r="H14" s="625">
        <v>47857326</v>
      </c>
    </row>
    <row r="15" spans="1:9" ht="15.75">
      <c r="A15" s="518"/>
      <c r="B15" s="45"/>
      <c r="C15" s="45"/>
      <c r="D15" s="5"/>
      <c r="E15" s="5"/>
      <c r="F15" s="564"/>
      <c r="G15" s="517"/>
      <c r="H15" s="564"/>
    </row>
    <row r="16" spans="1:9" ht="15.75">
      <c r="A16" s="518">
        <f>+A14+1</f>
        <v>3</v>
      </c>
      <c r="B16" s="525" t="s">
        <v>913</v>
      </c>
      <c r="C16" s="530"/>
      <c r="D16" s="531"/>
      <c r="E16" s="5"/>
      <c r="F16" s="565">
        <v>1008645</v>
      </c>
      <c r="G16" s="517"/>
      <c r="H16" s="565">
        <v>0</v>
      </c>
    </row>
    <row r="17" spans="1:9" ht="15.75">
      <c r="A17" s="518">
        <f t="shared" ref="A17:A27" si="0">+A16+1</f>
        <v>4</v>
      </c>
      <c r="B17" s="525" t="s">
        <v>914</v>
      </c>
      <c r="C17" s="530"/>
      <c r="D17" s="531"/>
      <c r="E17" s="5"/>
      <c r="F17" s="625">
        <v>0</v>
      </c>
      <c r="G17" s="517"/>
      <c r="H17" s="625">
        <v>545274</v>
      </c>
    </row>
    <row r="18" spans="1:9" ht="15.75">
      <c r="A18" s="518"/>
      <c r="B18" s="45"/>
      <c r="C18" s="45"/>
      <c r="D18" s="354"/>
      <c r="E18" s="5"/>
      <c r="F18" s="564"/>
      <c r="G18" s="517"/>
      <c r="H18" s="564"/>
    </row>
    <row r="19" spans="1:9" ht="15.75">
      <c r="A19" s="518">
        <f>+A17+1</f>
        <v>5</v>
      </c>
      <c r="B19" s="45" t="s">
        <v>915</v>
      </c>
      <c r="C19" s="45" t="str">
        <f>"(Line "&amp;A16&amp;" + Line "&amp;A17&amp;")"</f>
        <v>(Line 3 + Line 4)</v>
      </c>
      <c r="D19" s="354"/>
      <c r="E19" s="5"/>
      <c r="F19" s="626">
        <f>+F16+F17</f>
        <v>1008645</v>
      </c>
      <c r="G19" s="517"/>
      <c r="H19" s="626">
        <f>+H16+H17</f>
        <v>545274</v>
      </c>
    </row>
    <row r="20" spans="1:9" ht="15.75">
      <c r="A20" s="518"/>
      <c r="B20" s="45"/>
      <c r="C20" s="45"/>
      <c r="D20" s="5"/>
      <c r="E20" s="5"/>
      <c r="F20" s="564"/>
      <c r="G20" s="517"/>
      <c r="H20" s="564"/>
    </row>
    <row r="21" spans="1:9" ht="15.75">
      <c r="A21" s="518">
        <f>+A19+1</f>
        <v>6</v>
      </c>
      <c r="B21" s="45" t="s">
        <v>916</v>
      </c>
      <c r="C21" s="45" t="str">
        <f>"(Line "&amp;A14&amp;" + Line "&amp;A19&amp;")"</f>
        <v>(Line 2 + Line 5)</v>
      </c>
      <c r="D21" s="5"/>
      <c r="E21" s="5"/>
      <c r="F21" s="564">
        <f>+F14+F19</f>
        <v>43440647</v>
      </c>
      <c r="G21" s="517"/>
      <c r="H21" s="564">
        <f>+H14+H19</f>
        <v>48402600</v>
      </c>
    </row>
    <row r="22" spans="1:9" ht="15.75">
      <c r="A22" s="518"/>
      <c r="B22" s="45"/>
      <c r="C22" s="45"/>
      <c r="D22" s="5"/>
      <c r="E22" s="5"/>
      <c r="F22" s="564"/>
      <c r="G22" s="517"/>
      <c r="H22" s="564"/>
    </row>
    <row r="23" spans="1:9" ht="15.75">
      <c r="A23" s="518">
        <f>+A21+1</f>
        <v>7</v>
      </c>
      <c r="B23" s="45" t="s">
        <v>915</v>
      </c>
      <c r="C23" s="45" t="str">
        <f>"(Line "&amp;A19&amp;")"</f>
        <v>(Line 5)</v>
      </c>
      <c r="D23" s="5"/>
      <c r="E23" s="5"/>
      <c r="F23" s="564">
        <f>+F19*0.6658</f>
        <v>671555.8409999999</v>
      </c>
      <c r="G23" s="517"/>
      <c r="H23" s="564">
        <f>+H19</f>
        <v>545274</v>
      </c>
      <c r="I23" s="831">
        <f>+F23+H23</f>
        <v>1216829.841</v>
      </c>
    </row>
    <row r="24" spans="1:9" ht="15.75">
      <c r="A24" s="518"/>
      <c r="B24" s="45"/>
      <c r="C24" s="45"/>
      <c r="D24" s="45"/>
      <c r="E24" s="45"/>
      <c r="F24" s="45"/>
      <c r="G24" s="517"/>
      <c r="H24" s="45"/>
    </row>
    <row r="25" spans="1:9" ht="15.75">
      <c r="A25" s="518">
        <f>+A23+1</f>
        <v>8</v>
      </c>
      <c r="B25" s="45" t="s">
        <v>917</v>
      </c>
      <c r="C25" s="45" t="s">
        <v>750</v>
      </c>
      <c r="D25" s="45"/>
      <c r="E25" s="45"/>
      <c r="F25" s="513">
        <f>+C93</f>
        <v>4.562499999999998E-3</v>
      </c>
      <c r="G25" s="517"/>
      <c r="H25" s="513">
        <f>+C94</f>
        <v>4.806249999999998E-3</v>
      </c>
    </row>
    <row r="26" spans="1:9" ht="15.75">
      <c r="A26" s="518">
        <f t="shared" si="0"/>
        <v>9</v>
      </c>
      <c r="B26" s="45" t="s">
        <v>918</v>
      </c>
      <c r="C26" s="45" t="s">
        <v>919</v>
      </c>
      <c r="D26" s="45"/>
      <c r="E26" s="45"/>
      <c r="F26" s="565">
        <v>46</v>
      </c>
      <c r="G26" s="517"/>
      <c r="H26" s="565">
        <v>36</v>
      </c>
    </row>
    <row r="27" spans="1:9" ht="15.75">
      <c r="A27" s="518">
        <f t="shared" si="0"/>
        <v>10</v>
      </c>
      <c r="B27" s="45" t="s">
        <v>920</v>
      </c>
      <c r="C27" s="45" t="s">
        <v>921</v>
      </c>
      <c r="D27" s="45"/>
      <c r="E27" s="45"/>
      <c r="F27" s="626">
        <f>+F23*F25*F26</f>
        <v>140942.78212987492</v>
      </c>
      <c r="G27" s="517"/>
      <c r="H27" s="626">
        <f>+H23*H25*H26</f>
        <v>94346.033849999963</v>
      </c>
      <c r="I27" s="881">
        <f>+F27+H27</f>
        <v>235288.81597987487</v>
      </c>
    </row>
    <row r="28" spans="1:9" ht="15.75">
      <c r="A28" s="518"/>
      <c r="B28" s="45"/>
      <c r="C28" s="45"/>
      <c r="D28" s="45"/>
      <c r="E28" s="45"/>
      <c r="F28" s="342"/>
      <c r="G28" s="517"/>
      <c r="H28" s="342"/>
    </row>
    <row r="29" spans="1:9" ht="15.75">
      <c r="A29" s="518">
        <f>+A27+1</f>
        <v>11</v>
      </c>
      <c r="B29" s="45" t="s">
        <v>922</v>
      </c>
      <c r="C29" s="45" t="s">
        <v>923</v>
      </c>
      <c r="D29" s="45"/>
      <c r="E29" s="45"/>
      <c r="F29" s="564">
        <f>+F23+F27</f>
        <v>812498.62312987482</v>
      </c>
      <c r="G29" s="517"/>
      <c r="H29" s="564">
        <f>+H23+H27</f>
        <v>639620.03385000001</v>
      </c>
      <c r="I29" s="831">
        <f>+F29+H29</f>
        <v>1452118.6569798747</v>
      </c>
    </row>
    <row r="30" spans="1:9" ht="15.75">
      <c r="A30" s="518"/>
      <c r="B30" s="45"/>
      <c r="C30" s="45"/>
      <c r="D30" s="45"/>
      <c r="E30" s="45"/>
      <c r="F30" s="45"/>
      <c r="G30" s="517"/>
    </row>
    <row r="31" spans="1:9" ht="15.75">
      <c r="A31" s="45"/>
      <c r="B31" s="45"/>
      <c r="C31" s="45"/>
      <c r="D31" s="45"/>
      <c r="E31" s="45"/>
      <c r="F31" s="45" t="s">
        <v>987</v>
      </c>
      <c r="G31" s="517"/>
    </row>
    <row r="32" spans="1:9" ht="15.75">
      <c r="A32" s="496" t="s">
        <v>924</v>
      </c>
      <c r="B32" s="45"/>
      <c r="C32" s="45"/>
      <c r="D32" s="45"/>
      <c r="E32" s="45"/>
      <c r="F32" s="45"/>
      <c r="G32" s="517"/>
    </row>
    <row r="33" spans="1:7" ht="43.9" customHeight="1">
      <c r="A33" s="512" t="s">
        <v>207</v>
      </c>
      <c r="B33" s="936" t="s">
        <v>925</v>
      </c>
      <c r="C33" s="936"/>
      <c r="D33" s="936"/>
      <c r="E33" s="936"/>
      <c r="F33" s="936"/>
      <c r="G33" s="523"/>
    </row>
    <row r="34" spans="1:7" ht="54" customHeight="1">
      <c r="A34" s="512" t="s">
        <v>209</v>
      </c>
      <c r="B34" s="936" t="s">
        <v>926</v>
      </c>
      <c r="C34" s="936"/>
      <c r="D34" s="936"/>
      <c r="E34" s="936"/>
      <c r="F34" s="936"/>
      <c r="G34" s="523"/>
    </row>
    <row r="35" spans="1:7">
      <c r="A35" s="354"/>
      <c r="B35" s="354"/>
      <c r="C35" s="354"/>
      <c r="D35" s="354"/>
      <c r="E35" s="354"/>
      <c r="F35" s="354"/>
    </row>
    <row r="36" spans="1:7">
      <c r="A36" s="354"/>
      <c r="B36" s="870" t="s">
        <v>988</v>
      </c>
      <c r="C36" s="354"/>
      <c r="D36" s="354"/>
      <c r="E36" s="354"/>
      <c r="F36" s="354"/>
    </row>
    <row r="37" spans="1:7">
      <c r="A37" s="354"/>
      <c r="B37" s="846">
        <v>43952</v>
      </c>
      <c r="C37" s="181">
        <v>4.0000000000000001E-3</v>
      </c>
      <c r="D37" s="354"/>
      <c r="E37" s="354"/>
      <c r="F37" s="354"/>
    </row>
    <row r="38" spans="1:7">
      <c r="A38" s="354"/>
      <c r="B38" s="846">
        <f>+B37+31</f>
        <v>43983</v>
      </c>
      <c r="C38" s="181">
        <v>3.8999999999999998E-3</v>
      </c>
      <c r="D38" s="354"/>
      <c r="E38" s="354"/>
      <c r="F38" s="354"/>
    </row>
    <row r="39" spans="1:7">
      <c r="A39" s="354"/>
      <c r="B39" s="846">
        <f t="shared" ref="B39:B92" si="1">+B38+31</f>
        <v>44014</v>
      </c>
      <c r="C39" s="181">
        <v>2.8999999999999998E-3</v>
      </c>
      <c r="D39" s="354"/>
      <c r="E39" s="354"/>
      <c r="F39" s="354"/>
    </row>
    <row r="40" spans="1:7">
      <c r="A40" s="354"/>
      <c r="B40" s="846">
        <f t="shared" si="1"/>
        <v>44045</v>
      </c>
      <c r="C40" s="181">
        <v>2.8999999999999998E-3</v>
      </c>
      <c r="D40" s="354"/>
      <c r="E40" s="354"/>
      <c r="F40" s="354"/>
    </row>
    <row r="41" spans="1:7">
      <c r="A41" s="354"/>
      <c r="B41" s="846">
        <f t="shared" si="1"/>
        <v>44076</v>
      </c>
      <c r="C41" s="181">
        <v>2.8E-3</v>
      </c>
      <c r="D41" s="354"/>
      <c r="E41" s="354"/>
      <c r="F41" s="354"/>
    </row>
    <row r="42" spans="1:7">
      <c r="A42" s="354"/>
      <c r="B42" s="846">
        <f t="shared" si="1"/>
        <v>44107</v>
      </c>
      <c r="C42" s="181">
        <v>2.8E-3</v>
      </c>
      <c r="D42" s="354"/>
      <c r="E42" s="354"/>
      <c r="F42" s="354"/>
    </row>
    <row r="43" spans="1:7">
      <c r="A43" s="354"/>
      <c r="B43" s="846">
        <f t="shared" si="1"/>
        <v>44138</v>
      </c>
      <c r="C43" s="181">
        <v>2.7000000000000001E-3</v>
      </c>
      <c r="D43" s="354"/>
      <c r="E43" s="354"/>
      <c r="F43" s="354"/>
    </row>
    <row r="44" spans="1:7">
      <c r="A44" s="354"/>
      <c r="B44" s="846">
        <f t="shared" si="1"/>
        <v>44169</v>
      </c>
      <c r="C44" s="181">
        <v>2.8E-3</v>
      </c>
      <c r="D44" s="354"/>
      <c r="E44" s="354"/>
      <c r="F44" s="354"/>
    </row>
    <row r="45" spans="1:7">
      <c r="A45" s="354"/>
      <c r="B45" s="846">
        <f t="shared" si="1"/>
        <v>44200</v>
      </c>
      <c r="C45" s="181">
        <v>2.8E-3</v>
      </c>
      <c r="D45" s="354"/>
      <c r="E45" s="354"/>
      <c r="F45" s="354"/>
    </row>
    <row r="46" spans="1:7">
      <c r="B46" s="846">
        <f t="shared" si="1"/>
        <v>44231</v>
      </c>
      <c r="C46" s="650">
        <v>2.5000000000000001E-3</v>
      </c>
    </row>
    <row r="47" spans="1:7">
      <c r="B47" s="846">
        <f t="shared" si="1"/>
        <v>44262</v>
      </c>
      <c r="C47" s="650">
        <v>2.8E-3</v>
      </c>
    </row>
    <row r="48" spans="1:7">
      <c r="B48" s="846">
        <f t="shared" si="1"/>
        <v>44293</v>
      </c>
      <c r="C48" s="650">
        <v>2.7000000000000001E-3</v>
      </c>
    </row>
    <row r="49" spans="2:3">
      <c r="B49" s="846">
        <f t="shared" si="1"/>
        <v>44324</v>
      </c>
      <c r="C49" s="650">
        <v>2.8E-3</v>
      </c>
    </row>
    <row r="50" spans="2:3">
      <c r="B50" s="846">
        <f t="shared" si="1"/>
        <v>44355</v>
      </c>
      <c r="C50" s="650">
        <v>2.7000000000000001E-3</v>
      </c>
    </row>
    <row r="51" spans="2:3">
      <c r="B51" s="846">
        <f t="shared" si="1"/>
        <v>44386</v>
      </c>
      <c r="C51" s="650">
        <v>2.8E-3</v>
      </c>
    </row>
    <row r="52" spans="2:3">
      <c r="B52" s="846">
        <f t="shared" si="1"/>
        <v>44417</v>
      </c>
      <c r="C52" s="650">
        <v>2.8E-3</v>
      </c>
    </row>
    <row r="53" spans="2:3">
      <c r="B53" s="846">
        <f t="shared" si="1"/>
        <v>44448</v>
      </c>
      <c r="C53" s="650">
        <v>2.7000000000000001E-3</v>
      </c>
    </row>
    <row r="54" spans="2:3">
      <c r="B54" s="846">
        <f t="shared" si="1"/>
        <v>44479</v>
      </c>
      <c r="C54" s="650">
        <v>2.8E-3</v>
      </c>
    </row>
    <row r="55" spans="2:3">
      <c r="B55" s="846">
        <f t="shared" si="1"/>
        <v>44510</v>
      </c>
      <c r="C55" s="650">
        <v>2.7000000000000001E-3</v>
      </c>
    </row>
    <row r="56" spans="2:3">
      <c r="B56" s="846">
        <f t="shared" si="1"/>
        <v>44541</v>
      </c>
      <c r="C56" s="650">
        <v>2.8E-3</v>
      </c>
    </row>
    <row r="57" spans="2:3">
      <c r="B57" s="846">
        <f t="shared" si="1"/>
        <v>44572</v>
      </c>
      <c r="C57" s="650">
        <v>2.8E-3</v>
      </c>
    </row>
    <row r="58" spans="2:3">
      <c r="B58" s="846">
        <f t="shared" si="1"/>
        <v>44603</v>
      </c>
      <c r="C58" s="650">
        <v>2.5000000000000001E-3</v>
      </c>
    </row>
    <row r="59" spans="2:3">
      <c r="B59" s="846">
        <f t="shared" si="1"/>
        <v>44634</v>
      </c>
      <c r="C59" s="650">
        <v>2.8E-3</v>
      </c>
    </row>
    <row r="60" spans="2:3">
      <c r="B60" s="846">
        <f t="shared" si="1"/>
        <v>44665</v>
      </c>
      <c r="C60" s="650">
        <v>2.7000000000000001E-3</v>
      </c>
    </row>
    <row r="61" spans="2:3">
      <c r="B61" s="846">
        <f t="shared" si="1"/>
        <v>44696</v>
      </c>
      <c r="C61" s="650">
        <v>2.8E-3</v>
      </c>
    </row>
    <row r="62" spans="2:3">
      <c r="B62" s="846">
        <f t="shared" si="1"/>
        <v>44727</v>
      </c>
      <c r="C62" s="650">
        <v>2.7000000000000001E-3</v>
      </c>
    </row>
    <row r="63" spans="2:3">
      <c r="B63" s="846">
        <f t="shared" si="1"/>
        <v>44758</v>
      </c>
      <c r="C63" s="650">
        <v>3.0999999999999999E-3</v>
      </c>
    </row>
    <row r="64" spans="2:3">
      <c r="B64" s="846">
        <f>+B63+31</f>
        <v>44789</v>
      </c>
      <c r="C64" s="650">
        <v>3.0999999999999999E-3</v>
      </c>
    </row>
    <row r="65" spans="2:3">
      <c r="B65" s="846">
        <f t="shared" si="1"/>
        <v>44820</v>
      </c>
      <c r="C65" s="650">
        <v>3.0000000000000001E-3</v>
      </c>
    </row>
    <row r="66" spans="2:3">
      <c r="B66" s="846">
        <f t="shared" si="1"/>
        <v>44851</v>
      </c>
      <c r="C66" s="650">
        <v>4.1999999999999997E-3</v>
      </c>
    </row>
    <row r="67" spans="2:3">
      <c r="B67" s="846">
        <f t="shared" si="1"/>
        <v>44882</v>
      </c>
      <c r="C67" s="181">
        <v>4.0000000000000001E-3</v>
      </c>
    </row>
    <row r="68" spans="2:3">
      <c r="B68" s="846">
        <f t="shared" si="1"/>
        <v>44913</v>
      </c>
      <c r="C68" s="650">
        <v>4.1999999999999997E-3</v>
      </c>
    </row>
    <row r="69" spans="2:3">
      <c r="B69" s="846">
        <f t="shared" si="1"/>
        <v>44944</v>
      </c>
      <c r="C69" s="650">
        <v>5.4000000000000003E-3</v>
      </c>
    </row>
    <row r="70" spans="2:3">
      <c r="B70" s="846">
        <f t="shared" si="1"/>
        <v>44975</v>
      </c>
      <c r="C70" s="650">
        <v>4.7999999999999996E-3</v>
      </c>
    </row>
    <row r="71" spans="2:3">
      <c r="B71" s="846">
        <f t="shared" si="1"/>
        <v>45006</v>
      </c>
      <c r="C71" s="650">
        <v>5.4000000000000003E-3</v>
      </c>
    </row>
    <row r="72" spans="2:3">
      <c r="B72" s="846">
        <f t="shared" si="1"/>
        <v>45037</v>
      </c>
      <c r="C72" s="650">
        <v>6.1999999999999998E-3</v>
      </c>
    </row>
    <row r="73" spans="2:3">
      <c r="B73" s="846">
        <f t="shared" si="1"/>
        <v>45068</v>
      </c>
      <c r="C73" s="650">
        <v>6.4000000000000003E-3</v>
      </c>
    </row>
    <row r="74" spans="2:3">
      <c r="B74" s="846">
        <f>+B73+31</f>
        <v>45099</v>
      </c>
      <c r="C74" s="650">
        <v>6.1999999999999998E-3</v>
      </c>
    </row>
    <row r="75" spans="2:3">
      <c r="B75" s="846">
        <f t="shared" si="1"/>
        <v>45130</v>
      </c>
      <c r="C75" s="650">
        <v>6.7999999999999996E-3</v>
      </c>
    </row>
    <row r="76" spans="2:3">
      <c r="B76" s="846">
        <f t="shared" si="1"/>
        <v>45161</v>
      </c>
      <c r="C76" s="650">
        <v>6.7999999999999996E-3</v>
      </c>
    </row>
    <row r="77" spans="2:3">
      <c r="B77" s="846">
        <f t="shared" si="1"/>
        <v>45192</v>
      </c>
      <c r="C77" s="650">
        <v>6.6E-3</v>
      </c>
    </row>
    <row r="78" spans="2:3">
      <c r="B78" s="846">
        <f t="shared" si="1"/>
        <v>45223</v>
      </c>
      <c r="C78" s="650">
        <v>7.1000000000000004E-3</v>
      </c>
    </row>
    <row r="79" spans="2:3">
      <c r="B79" s="846">
        <f t="shared" si="1"/>
        <v>45254</v>
      </c>
      <c r="C79" s="650">
        <v>6.8999999999999999E-3</v>
      </c>
    </row>
    <row r="80" spans="2:3">
      <c r="B80" s="846">
        <f t="shared" si="1"/>
        <v>45285</v>
      </c>
      <c r="C80" s="650">
        <f>+C78</f>
        <v>7.1000000000000004E-3</v>
      </c>
    </row>
    <row r="81" spans="2:4">
      <c r="B81" s="846">
        <f t="shared" si="1"/>
        <v>45316</v>
      </c>
      <c r="C81" s="650">
        <f>+C80</f>
        <v>7.1000000000000004E-3</v>
      </c>
    </row>
    <row r="82" spans="2:4">
      <c r="B82" s="846">
        <f t="shared" si="1"/>
        <v>45347</v>
      </c>
      <c r="C82" s="650">
        <f>+C79</f>
        <v>6.8999999999999999E-3</v>
      </c>
    </row>
    <row r="83" spans="2:4">
      <c r="B83" s="846">
        <f>+B82+31</f>
        <v>45378</v>
      </c>
      <c r="C83" s="650">
        <f>+C81</f>
        <v>7.1000000000000004E-3</v>
      </c>
    </row>
    <row r="84" spans="2:4">
      <c r="B84" s="846">
        <f t="shared" si="1"/>
        <v>45409</v>
      </c>
      <c r="C84" s="650">
        <f>+C79</f>
        <v>6.8999999999999999E-3</v>
      </c>
    </row>
    <row r="85" spans="2:4">
      <c r="B85" s="846">
        <f t="shared" si="1"/>
        <v>45440</v>
      </c>
      <c r="C85" s="650">
        <f>+C83</f>
        <v>7.1000000000000004E-3</v>
      </c>
    </row>
    <row r="86" spans="2:4">
      <c r="B86" s="846">
        <f t="shared" si="1"/>
        <v>45471</v>
      </c>
      <c r="C86" s="650">
        <f>+C84</f>
        <v>6.8999999999999999E-3</v>
      </c>
    </row>
    <row r="87" spans="2:4">
      <c r="B87" s="846">
        <f t="shared" si="1"/>
        <v>45502</v>
      </c>
      <c r="C87" s="650">
        <f>+C85</f>
        <v>7.1000000000000004E-3</v>
      </c>
    </row>
    <row r="88" spans="2:4">
      <c r="B88" s="846">
        <f t="shared" si="1"/>
        <v>45533</v>
      </c>
      <c r="C88" s="650">
        <f>+C87</f>
        <v>7.1000000000000004E-3</v>
      </c>
    </row>
    <row r="89" spans="2:4">
      <c r="B89" s="846">
        <f t="shared" si="1"/>
        <v>45564</v>
      </c>
      <c r="C89" s="650">
        <f>+C86</f>
        <v>6.8999999999999999E-3</v>
      </c>
    </row>
    <row r="90" spans="2:4">
      <c r="B90" s="846">
        <f t="shared" si="1"/>
        <v>45595</v>
      </c>
      <c r="C90" s="650">
        <f>+C88</f>
        <v>7.1000000000000004E-3</v>
      </c>
    </row>
    <row r="91" spans="2:4">
      <c r="B91" s="846">
        <f t="shared" si="1"/>
        <v>45626</v>
      </c>
      <c r="C91" s="650">
        <f>+C89</f>
        <v>6.8999999999999999E-3</v>
      </c>
    </row>
    <row r="92" spans="2:4">
      <c r="B92" s="846">
        <f t="shared" si="1"/>
        <v>45657</v>
      </c>
      <c r="C92" s="650">
        <f>+C90</f>
        <v>7.1000000000000004E-3</v>
      </c>
      <c r="D92" s="650"/>
    </row>
    <row r="93" spans="2:4">
      <c r="B93" s="354" t="s">
        <v>989</v>
      </c>
      <c r="C93" s="650">
        <f>+AVERAGE(C37:C92)</f>
        <v>4.562499999999998E-3</v>
      </c>
    </row>
    <row r="94" spans="2:4">
      <c r="B94" s="354" t="s">
        <v>990</v>
      </c>
      <c r="C94" s="650">
        <f>+AVERAGE(C45:C92)</f>
        <v>4.806249999999998E-3</v>
      </c>
    </row>
    <row r="95" spans="2:4">
      <c r="C95" s="650"/>
    </row>
    <row r="96" spans="2:4">
      <c r="C96" s="650"/>
    </row>
    <row r="97" spans="3:3">
      <c r="C97" s="650"/>
    </row>
    <row r="98" spans="3:3">
      <c r="C98" s="650"/>
    </row>
    <row r="99" spans="3:3">
      <c r="C99" s="650"/>
    </row>
    <row r="100" spans="3:3">
      <c r="C100" s="650"/>
    </row>
    <row r="101" spans="3:3">
      <c r="C101" s="650"/>
    </row>
    <row r="102" spans="3:3">
      <c r="C102" s="650"/>
    </row>
    <row r="103" spans="3:3">
      <c r="C103" s="650"/>
    </row>
    <row r="104" spans="3:3">
      <c r="C104" s="650"/>
    </row>
    <row r="105" spans="3:3">
      <c r="C105" s="650"/>
    </row>
    <row r="106" spans="3:3">
      <c r="C106" s="650"/>
    </row>
    <row r="107" spans="3:3">
      <c r="C107" s="650"/>
    </row>
    <row r="108" spans="3:3">
      <c r="C108" s="650"/>
    </row>
    <row r="109" spans="3:3">
      <c r="C109" s="650"/>
    </row>
    <row r="110" spans="3:3">
      <c r="C110" s="650"/>
    </row>
    <row r="111" spans="3:3">
      <c r="C111" s="650"/>
    </row>
    <row r="112" spans="3:3">
      <c r="C112" s="650"/>
    </row>
    <row r="113" spans="3:3">
      <c r="C113" s="650"/>
    </row>
    <row r="114" spans="3:3">
      <c r="C114" s="650"/>
    </row>
    <row r="115" spans="3:3">
      <c r="C115" s="650"/>
    </row>
    <row r="116" spans="3:3">
      <c r="C116" s="650"/>
    </row>
    <row r="117" spans="3:3">
      <c r="C117" s="650"/>
    </row>
    <row r="118" spans="3:3">
      <c r="C118" s="650"/>
    </row>
    <row r="119" spans="3:3">
      <c r="C119" s="650"/>
    </row>
    <row r="120" spans="3:3">
      <c r="C120" s="650"/>
    </row>
    <row r="121" spans="3:3">
      <c r="C121" s="650"/>
    </row>
    <row r="122" spans="3:3">
      <c r="C122" s="650"/>
    </row>
    <row r="123" spans="3:3">
      <c r="C123" s="650"/>
    </row>
    <row r="124" spans="3:3">
      <c r="C124" s="650"/>
    </row>
    <row r="125" spans="3:3">
      <c r="C125" s="650"/>
    </row>
    <row r="126" spans="3:3">
      <c r="C126" s="650"/>
    </row>
    <row r="127" spans="3:3">
      <c r="C127" s="650"/>
    </row>
  </sheetData>
  <mergeCells count="5">
    <mergeCell ref="B33:F33"/>
    <mergeCell ref="B34:F34"/>
    <mergeCell ref="A1:G1"/>
    <mergeCell ref="A2:G2"/>
    <mergeCell ref="A3:G3"/>
  </mergeCells>
  <pageMargins left="0.7" right="0.7" top="0.75" bottom="0.75" header="0.3" footer="0.3"/>
  <pageSetup scale="78" orientation="landscape" verticalDpi="0"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pageSetUpPr fitToPage="1"/>
  </sheetPr>
  <dimension ref="A1:N27"/>
  <sheetViews>
    <sheetView workbookViewId="0">
      <selection activeCell="F3" sqref="F3"/>
    </sheetView>
  </sheetViews>
  <sheetFormatPr defaultRowHeight="12.75"/>
  <cols>
    <col min="1" max="1" width="3.85546875" customWidth="1"/>
    <col min="2" max="2" width="4.28515625" customWidth="1"/>
    <col min="10" max="10" width="14.140625" bestFit="1" customWidth="1"/>
    <col min="11" max="11" width="5.140625" customWidth="1"/>
    <col min="12" max="12" width="16.5703125" customWidth="1"/>
  </cols>
  <sheetData>
    <row r="1" spans="1:14" ht="18">
      <c r="F1" s="365" t="s">
        <v>0</v>
      </c>
      <c r="L1" s="354"/>
    </row>
    <row r="2" spans="1:14" ht="18">
      <c r="F2" s="365" t="s">
        <v>927</v>
      </c>
    </row>
    <row r="3" spans="1:14" ht="18">
      <c r="F3" s="365" t="s">
        <v>1018</v>
      </c>
    </row>
    <row r="5" spans="1:14">
      <c r="A5" s="354"/>
    </row>
    <row r="6" spans="1:14" ht="15">
      <c r="A6" s="45" t="s">
        <v>826</v>
      </c>
      <c r="B6" s="45"/>
      <c r="C6" s="45"/>
      <c r="D6" s="45"/>
      <c r="E6" s="45"/>
      <c r="F6" s="45"/>
      <c r="G6" s="45"/>
      <c r="H6" s="45"/>
      <c r="I6" s="45"/>
      <c r="J6" s="45"/>
      <c r="K6" s="45"/>
      <c r="L6" s="59" t="s">
        <v>928</v>
      </c>
      <c r="M6" s="59" t="s">
        <v>929</v>
      </c>
    </row>
    <row r="7" spans="1:14" ht="15">
      <c r="A7" s="45"/>
      <c r="B7" s="45" t="s">
        <v>754</v>
      </c>
      <c r="C7" s="45"/>
      <c r="D7" s="45"/>
      <c r="E7" s="45"/>
      <c r="F7" s="45"/>
      <c r="G7" s="45"/>
      <c r="H7" s="45"/>
      <c r="I7" s="45"/>
      <c r="J7" s="45"/>
      <c r="K7" s="45"/>
      <c r="L7" s="53" t="s">
        <v>930</v>
      </c>
      <c r="M7" s="53" t="s">
        <v>931</v>
      </c>
    </row>
    <row r="8" spans="1:14" ht="15">
      <c r="A8" s="59">
        <v>1</v>
      </c>
      <c r="B8" s="45"/>
      <c r="C8" s="45" t="s">
        <v>932</v>
      </c>
      <c r="D8" s="45"/>
      <c r="E8" s="45"/>
      <c r="F8" s="45"/>
      <c r="G8" s="45"/>
      <c r="H8" s="45"/>
      <c r="I8" s="45"/>
      <c r="J8" s="811">
        <v>17125</v>
      </c>
      <c r="K8" s="45"/>
      <c r="L8" s="59" t="s">
        <v>933</v>
      </c>
      <c r="M8" s="45">
        <v>561.1</v>
      </c>
    </row>
    <row r="9" spans="1:14" ht="15">
      <c r="A9" s="59"/>
      <c r="B9" s="45"/>
      <c r="C9" s="45"/>
      <c r="D9" s="45"/>
      <c r="E9" s="45"/>
      <c r="F9" s="45"/>
      <c r="G9" s="45"/>
      <c r="H9" s="45"/>
      <c r="I9" s="45"/>
      <c r="J9" s="342"/>
      <c r="K9" s="45"/>
      <c r="L9" s="59"/>
      <c r="M9" s="45"/>
    </row>
    <row r="10" spans="1:14" ht="15">
      <c r="A10" s="59">
        <f>+A8+1</f>
        <v>2</v>
      </c>
      <c r="B10" s="45"/>
      <c r="C10" s="45" t="s">
        <v>934</v>
      </c>
      <c r="D10" s="45"/>
      <c r="E10" s="45"/>
      <c r="F10" s="45"/>
      <c r="G10" s="45"/>
      <c r="H10" s="45"/>
      <c r="I10" s="45"/>
      <c r="J10" s="581">
        <v>378863</v>
      </c>
      <c r="K10" s="45"/>
      <c r="L10" s="59" t="s">
        <v>935</v>
      </c>
      <c r="M10" s="45">
        <v>561.20000000000005</v>
      </c>
    </row>
    <row r="11" spans="1:14" ht="15">
      <c r="A11" s="59"/>
      <c r="B11" s="45"/>
      <c r="C11" s="45"/>
      <c r="D11" s="45"/>
      <c r="E11" s="45"/>
      <c r="F11" s="45"/>
      <c r="G11" s="45"/>
      <c r="H11" s="45"/>
      <c r="I11" s="45"/>
      <c r="J11" s="342"/>
      <c r="K11" s="45"/>
      <c r="L11" s="59"/>
      <c r="M11" s="45"/>
    </row>
    <row r="12" spans="1:14" ht="15">
      <c r="A12" s="59">
        <f>+A10+1</f>
        <v>3</v>
      </c>
      <c r="B12" s="45"/>
      <c r="C12" s="45" t="s">
        <v>936</v>
      </c>
      <c r="D12" s="45"/>
      <c r="E12" s="45"/>
      <c r="F12" s="45"/>
      <c r="G12" s="45"/>
      <c r="H12" s="45"/>
      <c r="I12" s="45"/>
      <c r="J12" s="581">
        <v>0</v>
      </c>
      <c r="K12" s="45"/>
      <c r="L12" s="59" t="s">
        <v>937</v>
      </c>
      <c r="M12" s="45">
        <v>561.29999999999995</v>
      </c>
    </row>
    <row r="13" spans="1:14" ht="15">
      <c r="A13" s="59"/>
      <c r="B13" s="45"/>
      <c r="C13" s="45"/>
      <c r="D13" s="45"/>
      <c r="E13" s="45"/>
      <c r="F13" s="45"/>
      <c r="G13" s="45"/>
      <c r="H13" s="45"/>
      <c r="I13" s="45"/>
      <c r="J13" s="735"/>
      <c r="K13" s="45"/>
      <c r="L13" s="59"/>
      <c r="M13" s="45"/>
    </row>
    <row r="14" spans="1:14" ht="15">
      <c r="A14" s="59">
        <f>+A12+1</f>
        <v>4</v>
      </c>
      <c r="B14" s="45"/>
      <c r="C14" s="45" t="s">
        <v>980</v>
      </c>
      <c r="D14" s="45"/>
      <c r="E14" s="45"/>
      <c r="F14" s="45"/>
      <c r="G14" s="45"/>
      <c r="H14" s="45"/>
      <c r="I14" s="45"/>
      <c r="J14" s="812">
        <v>-94662.23</v>
      </c>
      <c r="K14" s="45"/>
      <c r="L14" s="59" t="s">
        <v>938</v>
      </c>
      <c r="M14" s="45"/>
      <c r="N14" s="354"/>
    </row>
    <row r="15" spans="1:14" ht="15">
      <c r="A15" s="59"/>
      <c r="B15" s="45"/>
      <c r="C15" s="45"/>
      <c r="D15" s="45"/>
      <c r="E15" s="45"/>
      <c r="F15" s="45"/>
      <c r="G15" s="45"/>
      <c r="H15" s="45"/>
      <c r="I15" s="45"/>
      <c r="J15" s="45"/>
      <c r="K15" s="45"/>
      <c r="L15" s="59"/>
      <c r="M15" s="45"/>
    </row>
    <row r="16" spans="1:14" ht="28.9" customHeight="1">
      <c r="A16" s="59">
        <f>+A14+1</f>
        <v>5</v>
      </c>
      <c r="B16" s="45"/>
      <c r="C16" s="45" t="s">
        <v>67</v>
      </c>
      <c r="D16" s="45"/>
      <c r="E16" s="45"/>
      <c r="F16" s="45"/>
      <c r="G16" s="45"/>
      <c r="H16" s="45"/>
      <c r="I16" s="45"/>
      <c r="J16" s="342">
        <f>+SUM(J8:J14)</f>
        <v>301325.77</v>
      </c>
      <c r="K16" s="45"/>
      <c r="L16" s="685" t="str">
        <f>"(Line "&amp;A8&amp;" + Line "&amp;A10&amp;" + Line "&amp;A12&amp;" + Line "&amp;A14&amp;")"</f>
        <v>(Line 1 + Line 2 + Line 3 + Line 4)</v>
      </c>
      <c r="M16" s="45"/>
    </row>
    <row r="17" spans="1:14" ht="15">
      <c r="A17" s="59"/>
      <c r="B17" s="45"/>
      <c r="C17" s="45"/>
      <c r="D17" s="45"/>
      <c r="E17" s="45"/>
      <c r="F17" s="45"/>
      <c r="G17" s="45"/>
      <c r="H17" s="45"/>
      <c r="I17" s="45"/>
      <c r="J17" s="342"/>
      <c r="K17" s="45"/>
      <c r="L17" s="59"/>
      <c r="M17" s="45"/>
    </row>
    <row r="18" spans="1:14" ht="135">
      <c r="A18" s="59">
        <f>+A16+1</f>
        <v>6</v>
      </c>
      <c r="B18" s="45" t="s">
        <v>939</v>
      </c>
      <c r="C18" s="45"/>
      <c r="D18" s="45"/>
      <c r="E18" s="45"/>
      <c r="F18" s="45"/>
      <c r="G18" s="45"/>
      <c r="H18" s="45"/>
      <c r="I18" s="45"/>
      <c r="J18" s="581">
        <v>13846695</v>
      </c>
      <c r="K18" s="45"/>
      <c r="L18" s="685" t="s">
        <v>984</v>
      </c>
      <c r="M18" s="45"/>
      <c r="N18" s="354"/>
    </row>
    <row r="19" spans="1:14" ht="15">
      <c r="A19" s="59"/>
      <c r="B19" s="45"/>
      <c r="C19" s="45"/>
      <c r="D19" s="45"/>
      <c r="E19" s="45"/>
      <c r="F19" s="45"/>
      <c r="G19" s="45"/>
      <c r="H19" s="45"/>
      <c r="I19" s="45"/>
      <c r="J19" s="45"/>
      <c r="K19" s="45"/>
      <c r="L19" s="59"/>
      <c r="M19" s="45"/>
    </row>
    <row r="20" spans="1:14" ht="15">
      <c r="A20" s="59">
        <f>+A18+1</f>
        <v>7</v>
      </c>
      <c r="B20" s="45" t="s">
        <v>940</v>
      </c>
      <c r="C20" s="45"/>
      <c r="D20" s="45"/>
      <c r="E20" s="45"/>
      <c r="F20" s="45"/>
      <c r="G20" s="45"/>
      <c r="H20" s="45"/>
      <c r="I20" s="45"/>
      <c r="J20" s="772">
        <f>+J16/J18</f>
        <v>2.1761566207676275E-2</v>
      </c>
      <c r="K20" s="45"/>
      <c r="L20" s="59" t="str">
        <f>"(Line "&amp;A16&amp;" / Line "&amp;A18&amp;")"</f>
        <v>(Line 5 / Line 6)</v>
      </c>
      <c r="M20" s="45"/>
    </row>
    <row r="21" spans="1:14" ht="15">
      <c r="A21" s="59"/>
      <c r="B21" s="45"/>
      <c r="C21" s="45"/>
      <c r="D21" s="45"/>
      <c r="E21" s="45"/>
      <c r="F21" s="45"/>
      <c r="G21" s="45"/>
      <c r="H21" s="45"/>
      <c r="I21" s="45"/>
      <c r="J21" s="45"/>
      <c r="K21" s="45"/>
      <c r="L21" s="45"/>
      <c r="M21" s="45"/>
    </row>
    <row r="22" spans="1:14">
      <c r="A22" s="398"/>
    </row>
    <row r="23" spans="1:14">
      <c r="A23" s="398"/>
    </row>
    <row r="24" spans="1:14">
      <c r="A24" s="398"/>
    </row>
    <row r="25" spans="1:14">
      <c r="A25" s="398"/>
    </row>
    <row r="26" spans="1:14">
      <c r="A26" s="398"/>
    </row>
    <row r="27" spans="1:14">
      <c r="A27" s="398"/>
    </row>
  </sheetData>
  <pageMargins left="0.7" right="0.7" top="0.75" bottom="0.75" header="0.3" footer="0.3"/>
  <pageSetup scale="78"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21"/>
  <sheetViews>
    <sheetView showGridLines="0" zoomScale="70" zoomScaleNormal="70" workbookViewId="0">
      <selection activeCell="H18" sqref="H18"/>
    </sheetView>
  </sheetViews>
  <sheetFormatPr defaultColWidth="18.7109375" defaultRowHeight="15"/>
  <cols>
    <col min="1" max="1" width="5.5703125" style="45" customWidth="1"/>
    <col min="2" max="2" width="65.7109375" style="154" customWidth="1"/>
    <col min="3" max="3" width="60.5703125" style="45" bestFit="1" customWidth="1"/>
    <col min="4" max="4" width="22.7109375" style="45" customWidth="1"/>
    <col min="5" max="5" width="28.7109375" style="45" customWidth="1"/>
    <col min="6" max="6" width="24.28515625" style="45" customWidth="1"/>
    <col min="7" max="7" width="24" style="45" bestFit="1" customWidth="1"/>
    <col min="8" max="8" width="24" style="45" customWidth="1"/>
    <col min="9" max="9" width="124.7109375" style="45" customWidth="1"/>
    <col min="10" max="16384" width="18.7109375" style="45"/>
  </cols>
  <sheetData>
    <row r="1" spans="1:9" ht="18">
      <c r="B1" s="894" t="str">
        <f>+'Appendix A'!A3</f>
        <v>Dayton Power and Light</v>
      </c>
      <c r="C1" s="894"/>
      <c r="D1" s="894"/>
      <c r="E1" s="894"/>
      <c r="F1" s="894"/>
      <c r="G1" s="894"/>
      <c r="H1" s="894"/>
      <c r="I1" s="894"/>
    </row>
    <row r="2" spans="1:9" ht="18">
      <c r="B2" s="894" t="s">
        <v>1</v>
      </c>
      <c r="C2" s="894"/>
      <c r="D2" s="894"/>
      <c r="E2" s="894"/>
      <c r="F2" s="894"/>
      <c r="G2" s="894"/>
      <c r="H2" s="894"/>
      <c r="I2" s="894"/>
    </row>
    <row r="3" spans="1:9" s="151" customFormat="1" ht="18">
      <c r="B3" s="894" t="s">
        <v>992</v>
      </c>
      <c r="C3" s="894"/>
      <c r="D3" s="894"/>
      <c r="E3" s="894"/>
      <c r="F3" s="894"/>
      <c r="G3" s="894"/>
      <c r="H3" s="894"/>
      <c r="I3" s="894"/>
    </row>
    <row r="5" spans="1:9" ht="18">
      <c r="B5" s="2"/>
      <c r="C5" s="1"/>
      <c r="D5" s="153" t="s">
        <v>254</v>
      </c>
      <c r="E5" s="153"/>
      <c r="G5" s="153"/>
      <c r="H5" s="153"/>
      <c r="I5" s="627"/>
    </row>
    <row r="6" spans="1:9" ht="18">
      <c r="D6" s="153" t="s">
        <v>56</v>
      </c>
      <c r="E6" s="153" t="s">
        <v>255</v>
      </c>
      <c r="F6" s="153" t="s">
        <v>256</v>
      </c>
      <c r="G6" s="153"/>
      <c r="H6" s="153" t="s">
        <v>67</v>
      </c>
      <c r="I6" s="628"/>
    </row>
    <row r="7" spans="1:9" ht="18">
      <c r="D7" s="153" t="s">
        <v>257</v>
      </c>
      <c r="E7" s="153" t="s">
        <v>257</v>
      </c>
      <c r="F7" s="153" t="s">
        <v>257</v>
      </c>
      <c r="G7" s="153"/>
      <c r="H7" s="153" t="s">
        <v>258</v>
      </c>
      <c r="I7" s="628"/>
    </row>
    <row r="8" spans="1:9" s="343" customFormat="1" ht="25.5">
      <c r="B8" s="346"/>
    </row>
    <row r="9" spans="1:9" ht="15.75">
      <c r="A9" s="59">
        <v>1</v>
      </c>
      <c r="C9" s="58" t="s">
        <v>259</v>
      </c>
      <c r="D9" s="156">
        <f>+E45</f>
        <v>0</v>
      </c>
      <c r="E9" s="156">
        <f>+F45</f>
        <v>0</v>
      </c>
      <c r="F9" s="156">
        <f>+G45</f>
        <v>1944004</v>
      </c>
      <c r="G9" s="156"/>
      <c r="H9" s="156"/>
      <c r="I9" s="91" t="str">
        <f>"(Line "&amp;A45&amp;")"</f>
        <v>(Line 26)</v>
      </c>
    </row>
    <row r="10" spans="1:9" ht="15.75">
      <c r="A10" s="59">
        <f>+A9+1</f>
        <v>2</v>
      </c>
      <c r="C10" s="58" t="s">
        <v>260</v>
      </c>
      <c r="D10" s="156">
        <f>+E64</f>
        <v>-8220708</v>
      </c>
      <c r="E10" s="156">
        <f t="shared" ref="E10:F10" si="0">+F64</f>
        <v>0</v>
      </c>
      <c r="F10" s="156">
        <f t="shared" si="0"/>
        <v>-4392792</v>
      </c>
      <c r="G10" s="156"/>
      <c r="H10" s="156"/>
      <c r="I10" s="91" t="str">
        <f>"(Line "&amp;A64&amp;")"</f>
        <v>(Line 29)</v>
      </c>
    </row>
    <row r="11" spans="1:9" ht="15.75">
      <c r="A11" s="59">
        <f>+A10+1</f>
        <v>3</v>
      </c>
      <c r="C11" s="58" t="s">
        <v>261</v>
      </c>
      <c r="D11" s="452">
        <f>+E92</f>
        <v>0</v>
      </c>
      <c r="E11" s="452">
        <f t="shared" ref="E11:F11" si="1">+F92</f>
        <v>0</v>
      </c>
      <c r="F11" s="452">
        <f t="shared" si="1"/>
        <v>914031</v>
      </c>
      <c r="G11" s="452"/>
      <c r="H11" s="156"/>
      <c r="I11" s="91" t="str">
        <f>"(Line "&amp;A92&amp;")"</f>
        <v>(Line 38)</v>
      </c>
    </row>
    <row r="12" spans="1:9" ht="15.75">
      <c r="A12" s="59">
        <f t="shared" ref="A12:A17" si="2">+A11+1</f>
        <v>4</v>
      </c>
      <c r="C12" s="58" t="s">
        <v>90</v>
      </c>
      <c r="D12" s="156">
        <f>+SUM(D9:D11)</f>
        <v>-8220708</v>
      </c>
      <c r="E12" s="156">
        <f t="shared" ref="E12:F12" si="3">+SUM(E9:E11)</f>
        <v>0</v>
      </c>
      <c r="F12" s="156">
        <f t="shared" si="3"/>
        <v>-1534757</v>
      </c>
      <c r="G12" s="156"/>
      <c r="H12" s="156"/>
      <c r="I12" s="91" t="str">
        <f>"(Line "&amp;A9&amp;" + Line "&amp;A10&amp;" + Line "&amp;A11&amp;")"</f>
        <v>(Line 1 + Line 2 + Line 3)</v>
      </c>
    </row>
    <row r="13" spans="1:9" ht="15.75">
      <c r="A13" s="59">
        <f t="shared" si="2"/>
        <v>5</v>
      </c>
      <c r="C13" s="58" t="s">
        <v>12</v>
      </c>
      <c r="F13" s="461">
        <f>'Appendix A'!H16</f>
        <v>0.12508709030780155</v>
      </c>
      <c r="I13" s="19" t="str">
        <f>"(Appendix A, Line "&amp;'Appendix A'!A16&amp;")"</f>
        <v>(Appendix A, Line 5)</v>
      </c>
    </row>
    <row r="14" spans="1:9" ht="15.75">
      <c r="A14" s="59">
        <f t="shared" si="2"/>
        <v>6</v>
      </c>
      <c r="C14" s="58" t="s">
        <v>20</v>
      </c>
      <c r="E14" s="461">
        <f>'Appendix A'!H27</f>
        <v>0.26818076319772116</v>
      </c>
      <c r="I14" s="19" t="str">
        <f>"(Appendix A, Line "&amp;'Appendix A'!A27&amp;")"</f>
        <v>(Appendix A, Line 12)</v>
      </c>
    </row>
    <row r="15" spans="1:9" ht="15.75">
      <c r="A15" s="59">
        <f>+A14+1</f>
        <v>7</v>
      </c>
      <c r="C15" s="58" t="s">
        <v>262</v>
      </c>
      <c r="D15" s="156">
        <f>+D12</f>
        <v>-8220708</v>
      </c>
      <c r="E15" s="156">
        <f>+E14*E12</f>
        <v>0</v>
      </c>
      <c r="F15" s="156">
        <f>+F13*F12</f>
        <v>-191978.28745953058</v>
      </c>
      <c r="G15" s="156"/>
      <c r="H15" s="157">
        <f>SUM(D15:F15)</f>
        <v>-8412686.2874595299</v>
      </c>
      <c r="I15" s="91" t="str">
        <f>"(Line "&amp;A12&amp;" * Line "&amp;A13&amp;" or Line "&amp;A14&amp;")"</f>
        <v>(Line 4 * Line 5 or Line 6)</v>
      </c>
    </row>
    <row r="16" spans="1:9" ht="15.75">
      <c r="A16" s="59">
        <f t="shared" si="2"/>
        <v>8</v>
      </c>
      <c r="C16" s="58" t="s">
        <v>263</v>
      </c>
      <c r="D16" s="156">
        <f>+'1C - ADIT Prior Year'!D15</f>
        <v>-3795911</v>
      </c>
      <c r="E16" s="156">
        <f>+'1C - ADIT Prior Year'!E15</f>
        <v>115852.48061683636</v>
      </c>
      <c r="F16" s="156">
        <f>+'1C - ADIT Prior Year'!F15</f>
        <v>-770319.7003685541</v>
      </c>
      <c r="G16" s="156"/>
      <c r="H16" s="157">
        <f t="shared" ref="H16" si="4">SUM(D16:F16)</f>
        <v>-4450378.2197517175</v>
      </c>
      <c r="I16" s="91" t="str">
        <f>"(Attachment 1C - ADIT Prior Year, Line "&amp;A15&amp;")"</f>
        <v>(Attachment 1C - ADIT Prior Year, Line 7)</v>
      </c>
    </row>
    <row r="17" spans="1:21" ht="15.75">
      <c r="A17" s="59">
        <f t="shared" si="2"/>
        <v>9</v>
      </c>
      <c r="C17" s="58" t="s">
        <v>264</v>
      </c>
      <c r="D17" s="156">
        <f>(D15+D16)/2</f>
        <v>-6008309.5</v>
      </c>
      <c r="E17" s="156">
        <f>(E15+E16)/2</f>
        <v>57926.240308418179</v>
      </c>
      <c r="F17" s="156">
        <f>(F15+F16)/2</f>
        <v>-481148.99391404237</v>
      </c>
      <c r="G17" s="156"/>
      <c r="H17" s="157">
        <f>SUM(D17:F17)</f>
        <v>-6431532.2536056247</v>
      </c>
      <c r="I17" s="91" t="str">
        <f>"(Average of Line "&amp;A15&amp;" + Line "&amp;A16&amp;")"</f>
        <v>(Average of Line 7 + Line 8)</v>
      </c>
      <c r="J17" s="342"/>
    </row>
    <row r="18" spans="1:21" ht="15.75">
      <c r="A18" s="59">
        <f>+A17+1</f>
        <v>10</v>
      </c>
      <c r="C18" s="58" t="s">
        <v>265</v>
      </c>
      <c r="D18" s="452">
        <f>+'1B - ADIT Proration'!J24</f>
        <v>-37864088.293150686</v>
      </c>
      <c r="E18" s="452">
        <f>+'1B - ADIT Proration'!N24</f>
        <v>0</v>
      </c>
      <c r="F18" s="452">
        <f>+'1B - ADIT Proration'!R24</f>
        <v>-1258967.5070171361</v>
      </c>
      <c r="G18" s="156"/>
      <c r="H18" s="863">
        <f>+'1B - ADIT Proration'!S24</f>
        <v>-39123055.800167821</v>
      </c>
      <c r="I18" s="91" t="str">
        <f>"(Attachment 1B, Line "&amp;'1B - ADIT Proration'!A24&amp;")"</f>
        <v>(Attachment 1B, Line 14)</v>
      </c>
    </row>
    <row r="19" spans="1:21" ht="15.75">
      <c r="A19" s="59">
        <f>+A18+1</f>
        <v>11</v>
      </c>
      <c r="C19" s="155" t="s">
        <v>266</v>
      </c>
      <c r="D19" s="156">
        <f>+D17+D18</f>
        <v>-43872397.793150686</v>
      </c>
      <c r="E19" s="156">
        <f>+E17+E18</f>
        <v>57926.240308418179</v>
      </c>
      <c r="F19" s="156">
        <f>+F17+F18</f>
        <v>-1740116.5009311785</v>
      </c>
      <c r="G19" s="157"/>
      <c r="H19" s="157">
        <f>+H17+H18</f>
        <v>-45554588.053773448</v>
      </c>
      <c r="I19" s="91" t="str">
        <f>"(Line "&amp;A17&amp;" + Line "&amp;A18&amp;")"</f>
        <v>(Line 9 + Line 10)</v>
      </c>
    </row>
    <row r="20" spans="1:21" ht="15.75">
      <c r="C20" s="155"/>
      <c r="D20" s="156"/>
      <c r="E20" s="156"/>
      <c r="F20" s="156"/>
      <c r="G20" s="157"/>
      <c r="H20" s="157"/>
      <c r="I20" s="158"/>
    </row>
    <row r="21" spans="1:21" ht="15.75">
      <c r="C21" s="155"/>
      <c r="D21" s="156"/>
      <c r="E21" s="156"/>
      <c r="F21" s="156"/>
      <c r="G21" s="157"/>
      <c r="H21" s="157"/>
      <c r="I21" s="158"/>
    </row>
    <row r="22" spans="1:21" ht="15.75">
      <c r="B22" s="58"/>
    </row>
    <row r="23" spans="1:21">
      <c r="B23" s="45" t="s">
        <v>267</v>
      </c>
      <c r="D23" s="156"/>
    </row>
    <row r="24" spans="1:21">
      <c r="B24" s="45"/>
    </row>
    <row r="25" spans="1:21">
      <c r="B25" s="154" t="s">
        <v>268</v>
      </c>
    </row>
    <row r="26" spans="1:21">
      <c r="B26" s="154" t="s">
        <v>269</v>
      </c>
    </row>
    <row r="27" spans="1:21">
      <c r="G27" s="155"/>
      <c r="H27" s="155"/>
    </row>
    <row r="28" spans="1:21" ht="15.75">
      <c r="B28" s="159" t="s">
        <v>207</v>
      </c>
      <c r="C28" s="159" t="s">
        <v>209</v>
      </c>
      <c r="D28" s="159" t="s">
        <v>211</v>
      </c>
      <c r="E28" s="159" t="s">
        <v>213</v>
      </c>
      <c r="F28" s="159" t="s">
        <v>215</v>
      </c>
      <c r="G28" s="159" t="s">
        <v>217</v>
      </c>
      <c r="H28" s="159"/>
      <c r="I28" s="159" t="s">
        <v>219</v>
      </c>
    </row>
    <row r="29" spans="1:21">
      <c r="B29" s="160" t="s">
        <v>270</v>
      </c>
      <c r="C29" s="153"/>
      <c r="D29" s="153"/>
      <c r="E29" s="153" t="s">
        <v>56</v>
      </c>
      <c r="F29" s="153" t="s">
        <v>255</v>
      </c>
      <c r="G29" s="153" t="s">
        <v>256</v>
      </c>
      <c r="H29" s="153"/>
    </row>
    <row r="30" spans="1:21" ht="14.45" customHeight="1" thickBot="1">
      <c r="C30" s="153" t="s">
        <v>67</v>
      </c>
      <c r="D30" s="153" t="s">
        <v>271</v>
      </c>
      <c r="E30" s="153" t="s">
        <v>257</v>
      </c>
      <c r="F30" s="153" t="s">
        <v>257</v>
      </c>
      <c r="G30" s="153" t="s">
        <v>257</v>
      </c>
      <c r="H30" s="446"/>
      <c r="I30" s="153" t="s">
        <v>272</v>
      </c>
    </row>
    <row r="31" spans="1:21" ht="28.5" customHeight="1" thickBot="1">
      <c r="A31" s="59">
        <f>+A19+1</f>
        <v>12</v>
      </c>
      <c r="B31" s="332" t="s">
        <v>273</v>
      </c>
      <c r="C31" s="822">
        <f>+SUM(D31:G31)</f>
        <v>570019</v>
      </c>
      <c r="D31" s="777">
        <v>0</v>
      </c>
      <c r="E31" s="777">
        <v>0</v>
      </c>
      <c r="F31" s="777">
        <v>0</v>
      </c>
      <c r="G31" s="777">
        <v>570019</v>
      </c>
      <c r="H31" s="686"/>
      <c r="I31" s="407" t="s">
        <v>274</v>
      </c>
      <c r="Q31" s="345"/>
      <c r="R31" s="345"/>
      <c r="S31" s="345"/>
      <c r="T31" s="345"/>
      <c r="U31" s="345"/>
    </row>
    <row r="32" spans="1:21" ht="28.5" customHeight="1" thickBot="1">
      <c r="A32" s="59">
        <f>+A31+1</f>
        <v>13</v>
      </c>
      <c r="B32" s="333" t="s">
        <v>275</v>
      </c>
      <c r="C32" s="823">
        <f>+SUM(D32:G32)</f>
        <v>0</v>
      </c>
      <c r="D32" s="778">
        <v>0</v>
      </c>
      <c r="E32" s="778">
        <v>0</v>
      </c>
      <c r="F32" s="778">
        <v>0</v>
      </c>
      <c r="G32" s="777">
        <v>0</v>
      </c>
      <c r="H32" s="687"/>
      <c r="I32" s="407" t="s">
        <v>276</v>
      </c>
      <c r="Q32" s="345"/>
      <c r="R32" s="345"/>
      <c r="S32" s="345"/>
      <c r="T32" s="345"/>
      <c r="U32" s="345"/>
    </row>
    <row r="33" spans="1:21" ht="39.75" customHeight="1">
      <c r="A33" s="59">
        <f t="shared" ref="A33:A44" si="5">+A32+1</f>
        <v>14</v>
      </c>
      <c r="B33" s="333" t="s">
        <v>277</v>
      </c>
      <c r="C33" s="823">
        <f>+SUM(D33:G33)</f>
        <v>653198</v>
      </c>
      <c r="D33" s="778">
        <v>0</v>
      </c>
      <c r="E33" s="778">
        <v>0</v>
      </c>
      <c r="F33" s="778">
        <v>0</v>
      </c>
      <c r="G33" s="777">
        <v>653198</v>
      </c>
      <c r="H33" s="687"/>
      <c r="I33" s="407" t="s">
        <v>274</v>
      </c>
      <c r="Q33" s="345"/>
      <c r="R33" s="345"/>
      <c r="S33" s="345"/>
      <c r="T33" s="345"/>
      <c r="U33" s="345"/>
    </row>
    <row r="34" spans="1:21" ht="39.75" customHeight="1">
      <c r="A34" s="59">
        <f t="shared" si="5"/>
        <v>15</v>
      </c>
      <c r="B34" s="503" t="s">
        <v>278</v>
      </c>
      <c r="C34" s="823">
        <f t="shared" ref="C34:C41" si="6">+SUM(D34:G34)</f>
        <v>11612</v>
      </c>
      <c r="D34" s="778">
        <v>11612</v>
      </c>
      <c r="E34" s="778">
        <v>0</v>
      </c>
      <c r="F34" s="778">
        <v>0</v>
      </c>
      <c r="G34" s="778">
        <v>0</v>
      </c>
      <c r="H34" s="687"/>
      <c r="I34" s="405" t="s">
        <v>279</v>
      </c>
      <c r="Q34" s="345"/>
      <c r="R34" s="345"/>
      <c r="S34" s="345"/>
      <c r="T34" s="345"/>
      <c r="U34" s="345"/>
    </row>
    <row r="35" spans="1:21" ht="39.75" customHeight="1">
      <c r="A35" s="59">
        <f t="shared" si="5"/>
        <v>16</v>
      </c>
      <c r="B35" s="333" t="s">
        <v>280</v>
      </c>
      <c r="C35" s="823">
        <f t="shared" si="6"/>
        <v>636527</v>
      </c>
      <c r="D35" s="778">
        <v>0</v>
      </c>
      <c r="E35" s="778">
        <v>0</v>
      </c>
      <c r="F35" s="778">
        <v>0</v>
      </c>
      <c r="G35" s="778">
        <v>636527</v>
      </c>
      <c r="H35" s="687"/>
      <c r="I35" s="407" t="s">
        <v>281</v>
      </c>
      <c r="Q35" s="345"/>
      <c r="R35" s="345"/>
      <c r="S35" s="345"/>
      <c r="T35" s="345"/>
      <c r="U35" s="345"/>
    </row>
    <row r="36" spans="1:21" ht="39.75" customHeight="1">
      <c r="A36" s="59">
        <f t="shared" si="5"/>
        <v>17</v>
      </c>
      <c r="B36" s="333" t="s">
        <v>282</v>
      </c>
      <c r="C36" s="823">
        <f t="shared" si="6"/>
        <v>0</v>
      </c>
      <c r="D36" s="778">
        <v>0</v>
      </c>
      <c r="E36" s="778">
        <v>0</v>
      </c>
      <c r="F36" s="778">
        <v>0</v>
      </c>
      <c r="G36" s="778">
        <v>0</v>
      </c>
      <c r="H36" s="687"/>
      <c r="I36" s="407" t="s">
        <v>283</v>
      </c>
      <c r="Q36" s="345"/>
      <c r="R36" s="345"/>
      <c r="S36" s="345"/>
      <c r="T36" s="345"/>
      <c r="U36" s="345"/>
    </row>
    <row r="37" spans="1:21" ht="39.75" customHeight="1">
      <c r="A37" s="59">
        <f t="shared" si="5"/>
        <v>18</v>
      </c>
      <c r="B37" s="333" t="s">
        <v>284</v>
      </c>
      <c r="C37" s="823">
        <f t="shared" si="6"/>
        <v>84260</v>
      </c>
      <c r="D37" s="778">
        <v>0</v>
      </c>
      <c r="E37" s="778">
        <v>0</v>
      </c>
      <c r="F37" s="778">
        <v>0</v>
      </c>
      <c r="G37" s="778">
        <v>84260</v>
      </c>
      <c r="H37" s="687"/>
      <c r="I37" s="407" t="s">
        <v>285</v>
      </c>
      <c r="Q37" s="345"/>
      <c r="R37" s="345"/>
      <c r="S37" s="345"/>
      <c r="T37" s="345"/>
      <c r="U37" s="345"/>
    </row>
    <row r="38" spans="1:21" ht="39.75" customHeight="1">
      <c r="A38" s="59">
        <f t="shared" si="5"/>
        <v>19</v>
      </c>
      <c r="B38" s="333" t="s">
        <v>286</v>
      </c>
      <c r="C38" s="823">
        <f t="shared" si="6"/>
        <v>687952</v>
      </c>
      <c r="D38" s="778">
        <v>687952</v>
      </c>
      <c r="E38" s="778">
        <v>0</v>
      </c>
      <c r="F38" s="778">
        <v>0</v>
      </c>
      <c r="G38" s="778">
        <v>0</v>
      </c>
      <c r="H38" s="687"/>
      <c r="I38" s="407" t="s">
        <v>287</v>
      </c>
      <c r="Q38" s="345"/>
      <c r="R38" s="345"/>
      <c r="S38" s="345"/>
      <c r="T38" s="345"/>
      <c r="U38" s="345"/>
    </row>
    <row r="39" spans="1:21" ht="39.75" customHeight="1">
      <c r="A39" s="59">
        <f t="shared" si="5"/>
        <v>20</v>
      </c>
      <c r="B39" s="333" t="s">
        <v>288</v>
      </c>
      <c r="C39" s="823">
        <f t="shared" si="6"/>
        <v>0</v>
      </c>
      <c r="D39" s="778">
        <v>0</v>
      </c>
      <c r="E39" s="778">
        <v>0</v>
      </c>
      <c r="F39" s="778">
        <v>0</v>
      </c>
      <c r="G39" s="778">
        <v>0</v>
      </c>
      <c r="H39" s="687"/>
      <c r="I39" s="407" t="s">
        <v>289</v>
      </c>
      <c r="Q39" s="345"/>
      <c r="R39" s="345"/>
      <c r="S39" s="345"/>
      <c r="T39" s="345"/>
      <c r="U39" s="345"/>
    </row>
    <row r="40" spans="1:21" ht="39.75" customHeight="1">
      <c r="A40" s="59">
        <f t="shared" si="5"/>
        <v>21</v>
      </c>
      <c r="B40" s="333" t="s">
        <v>290</v>
      </c>
      <c r="C40" s="823">
        <f t="shared" si="6"/>
        <v>0</v>
      </c>
      <c r="D40" s="778">
        <v>0</v>
      </c>
      <c r="E40" s="778">
        <v>0</v>
      </c>
      <c r="F40" s="778">
        <v>0</v>
      </c>
      <c r="G40" s="778">
        <v>0</v>
      </c>
      <c r="H40" s="687"/>
      <c r="I40" s="407" t="s">
        <v>291</v>
      </c>
      <c r="Q40" s="345"/>
      <c r="R40" s="345"/>
      <c r="S40" s="345"/>
      <c r="T40" s="345"/>
      <c r="U40" s="345"/>
    </row>
    <row r="41" spans="1:21" ht="39.75" customHeight="1">
      <c r="A41" s="59">
        <f t="shared" si="5"/>
        <v>22</v>
      </c>
      <c r="B41" s="333" t="s">
        <v>292</v>
      </c>
      <c r="C41" s="823">
        <f t="shared" si="6"/>
        <v>-205831</v>
      </c>
      <c r="D41" s="778">
        <v>-205831</v>
      </c>
      <c r="E41" s="778">
        <v>0</v>
      </c>
      <c r="F41" s="778">
        <v>0</v>
      </c>
      <c r="G41" s="778">
        <v>0</v>
      </c>
      <c r="H41" s="687"/>
      <c r="I41" s="407" t="s">
        <v>293</v>
      </c>
      <c r="Q41" s="345"/>
      <c r="R41" s="345"/>
      <c r="S41" s="345"/>
      <c r="T41" s="345"/>
      <c r="U41" s="345"/>
    </row>
    <row r="42" spans="1:21" ht="39.75" customHeight="1">
      <c r="A42" s="59">
        <f>+A41+1</f>
        <v>23</v>
      </c>
      <c r="B42" s="333" t="s">
        <v>294</v>
      </c>
      <c r="C42" s="823">
        <f>+C43-SUM(C31:C41)</f>
        <v>2575201</v>
      </c>
      <c r="D42" s="778">
        <f>+C42</f>
        <v>2575201</v>
      </c>
      <c r="E42" s="778">
        <v>0</v>
      </c>
      <c r="F42" s="778">
        <v>0</v>
      </c>
      <c r="G42" s="778">
        <v>0</v>
      </c>
      <c r="H42" s="687"/>
      <c r="I42" s="335" t="s">
        <v>295</v>
      </c>
      <c r="Q42" s="345"/>
      <c r="R42" s="345"/>
      <c r="S42" s="345"/>
      <c r="T42" s="345"/>
      <c r="U42" s="345"/>
    </row>
    <row r="43" spans="1:21" ht="25.15" customHeight="1">
      <c r="A43" s="59">
        <f t="shared" si="5"/>
        <v>24</v>
      </c>
      <c r="B43" s="334" t="s">
        <v>296</v>
      </c>
      <c r="C43" s="553">
        <v>5012938</v>
      </c>
      <c r="D43" s="553">
        <f t="shared" ref="D43:G43" si="7">SUM(D31:D42)</f>
        <v>3068934</v>
      </c>
      <c r="E43" s="553">
        <f t="shared" si="7"/>
        <v>0</v>
      </c>
      <c r="F43" s="553">
        <f t="shared" si="7"/>
        <v>0</v>
      </c>
      <c r="G43" s="553">
        <f t="shared" si="7"/>
        <v>1944004</v>
      </c>
      <c r="H43" s="553"/>
      <c r="I43" s="161"/>
      <c r="Q43" s="345"/>
      <c r="R43" s="345"/>
      <c r="S43" s="345"/>
      <c r="T43" s="345"/>
      <c r="U43" s="345"/>
    </row>
    <row r="44" spans="1:21" ht="25.15" customHeight="1">
      <c r="A44" s="59">
        <f t="shared" si="5"/>
        <v>25</v>
      </c>
      <c r="B44" s="331" t="s">
        <v>297</v>
      </c>
      <c r="C44" s="554">
        <f>SUM(D44:G44)</f>
        <v>11612</v>
      </c>
      <c r="D44" s="554">
        <f>D34</f>
        <v>11612</v>
      </c>
      <c r="E44" s="555">
        <f>E34</f>
        <v>0</v>
      </c>
      <c r="F44" s="556">
        <f>F34</f>
        <v>0</v>
      </c>
      <c r="G44" s="556">
        <f>G34</f>
        <v>0</v>
      </c>
      <c r="H44" s="556"/>
      <c r="I44" s="167" t="s">
        <v>298</v>
      </c>
      <c r="Q44" s="345"/>
      <c r="R44" s="345"/>
      <c r="S44" s="345"/>
      <c r="T44" s="345"/>
      <c r="U44" s="345"/>
    </row>
    <row r="45" spans="1:21" ht="35.1" customHeight="1" thickBot="1">
      <c r="A45" s="59">
        <f>+A44+1</f>
        <v>26</v>
      </c>
      <c r="B45" s="330" t="s">
        <v>67</v>
      </c>
      <c r="C45" s="557">
        <f>+C43-C44</f>
        <v>5001326</v>
      </c>
      <c r="D45" s="557">
        <f t="shared" ref="D45:G45" si="8">+D43-D44</f>
        <v>3057322</v>
      </c>
      <c r="E45" s="557">
        <f t="shared" si="8"/>
        <v>0</v>
      </c>
      <c r="F45" s="557">
        <f t="shared" si="8"/>
        <v>0</v>
      </c>
      <c r="G45" s="557">
        <f t="shared" si="8"/>
        <v>1944004</v>
      </c>
      <c r="H45" s="557"/>
      <c r="I45" s="329"/>
      <c r="Q45" s="345"/>
      <c r="R45" s="345"/>
      <c r="S45" s="345"/>
      <c r="T45" s="345"/>
      <c r="U45" s="345"/>
    </row>
    <row r="46" spans="1:21" ht="35.1" customHeight="1">
      <c r="B46" s="45" t="s">
        <v>299</v>
      </c>
      <c r="D46" s="156"/>
      <c r="E46" s="467"/>
      <c r="F46" s="59"/>
      <c r="I46" s="468"/>
    </row>
    <row r="47" spans="1:21" ht="19.149999999999999" customHeight="1">
      <c r="B47" s="891" t="s">
        <v>300</v>
      </c>
      <c r="C47" s="891"/>
      <c r="D47" s="891"/>
      <c r="E47" s="891"/>
      <c r="F47" s="891"/>
      <c r="G47" s="891"/>
      <c r="H47" s="891"/>
      <c r="I47" s="891"/>
    </row>
    <row r="48" spans="1:21" ht="18.600000000000001" customHeight="1">
      <c r="B48" s="154" t="s">
        <v>301</v>
      </c>
      <c r="G48" s="59"/>
      <c r="H48" s="59"/>
      <c r="I48" s="59"/>
    </row>
    <row r="49" spans="1:21" ht="19.149999999999999" customHeight="1">
      <c r="B49" s="154" t="s">
        <v>302</v>
      </c>
      <c r="G49" s="59"/>
      <c r="H49" s="59"/>
      <c r="I49" s="59"/>
    </row>
    <row r="50" spans="1:21" ht="16.899999999999999" customHeight="1">
      <c r="B50" s="154" t="s">
        <v>303</v>
      </c>
      <c r="G50" s="59"/>
      <c r="H50" s="59"/>
      <c r="I50" s="59"/>
    </row>
    <row r="51" spans="1:21" ht="15" customHeight="1">
      <c r="B51" s="891" t="s">
        <v>304</v>
      </c>
      <c r="C51" s="891"/>
      <c r="D51" s="891"/>
      <c r="E51" s="891"/>
      <c r="F51" s="891"/>
      <c r="G51" s="891"/>
      <c r="H51" s="891"/>
      <c r="I51" s="891"/>
    </row>
    <row r="52" spans="1:21">
      <c r="B52" s="154" t="s">
        <v>305</v>
      </c>
      <c r="C52" s="59"/>
      <c r="D52" s="469"/>
      <c r="E52" s="59"/>
      <c r="F52" s="59"/>
      <c r="G52" s="59"/>
      <c r="H52" s="59"/>
      <c r="I52" s="445"/>
    </row>
    <row r="53" spans="1:21" ht="15.75">
      <c r="C53" s="159"/>
      <c r="D53" s="159"/>
      <c r="E53" s="159"/>
      <c r="F53" s="159"/>
      <c r="G53" s="159"/>
      <c r="H53" s="159"/>
      <c r="I53" s="445"/>
    </row>
    <row r="54" spans="1:21" s="151" customFormat="1" ht="18">
      <c r="B54" s="892" t="str">
        <f>+B1</f>
        <v>Dayton Power and Light</v>
      </c>
      <c r="C54" s="893"/>
      <c r="D54" s="893"/>
      <c r="E54" s="893"/>
      <c r="F54" s="893"/>
      <c r="G54" s="893"/>
      <c r="H54" s="893"/>
      <c r="I54" s="893"/>
    </row>
    <row r="55" spans="1:21" s="151" customFormat="1" ht="18">
      <c r="B55" s="892" t="str">
        <f>+B2</f>
        <v xml:space="preserve">ATTACHMENT H-15A </v>
      </c>
      <c r="C55" s="892"/>
      <c r="D55" s="892"/>
      <c r="E55" s="892"/>
      <c r="F55" s="892"/>
      <c r="G55" s="892"/>
      <c r="H55" s="892"/>
      <c r="I55" s="892"/>
    </row>
    <row r="56" spans="1:21" s="151" customFormat="1" ht="18">
      <c r="B56" s="892" t="str">
        <f>+B3</f>
        <v>Attachment 1A - Accumulated Deferred Income Taxes (ADIT) Worksheet - Projected December 31, 2024</v>
      </c>
      <c r="C56" s="892"/>
      <c r="D56" s="892"/>
      <c r="E56" s="892"/>
      <c r="F56" s="892"/>
      <c r="G56" s="892"/>
      <c r="H56" s="892"/>
      <c r="I56" s="892"/>
    </row>
    <row r="57" spans="1:21" ht="18">
      <c r="B57" s="153"/>
      <c r="I57" s="627"/>
    </row>
    <row r="58" spans="1:21" ht="18">
      <c r="B58" s="159" t="s">
        <v>207</v>
      </c>
      <c r="C58" s="159" t="s">
        <v>209</v>
      </c>
      <c r="D58" s="159" t="s">
        <v>211</v>
      </c>
      <c r="E58" s="159" t="s">
        <v>213</v>
      </c>
      <c r="F58" s="159" t="s">
        <v>215</v>
      </c>
      <c r="G58" s="159" t="s">
        <v>217</v>
      </c>
      <c r="H58" s="159"/>
      <c r="I58" s="628"/>
    </row>
    <row r="59" spans="1:21" ht="18">
      <c r="B59" s="45"/>
      <c r="C59" s="153" t="s">
        <v>306</v>
      </c>
      <c r="D59" s="153"/>
      <c r="E59" s="153"/>
      <c r="F59" s="153"/>
      <c r="G59" s="153"/>
      <c r="H59" s="153"/>
      <c r="I59" s="628"/>
    </row>
    <row r="60" spans="1:21" ht="15.75">
      <c r="B60" s="155" t="s">
        <v>307</v>
      </c>
      <c r="C60" s="153"/>
      <c r="D60" s="153"/>
      <c r="E60" s="153" t="s">
        <v>56</v>
      </c>
      <c r="F60" s="153" t="s">
        <v>255</v>
      </c>
      <c r="G60" s="153" t="s">
        <v>256</v>
      </c>
      <c r="H60" s="153"/>
      <c r="I60" s="159" t="s">
        <v>219</v>
      </c>
    </row>
    <row r="61" spans="1:21" ht="15.75" thickBot="1">
      <c r="C61" s="153"/>
      <c r="D61" s="153" t="str">
        <f>+D30</f>
        <v>Excluded</v>
      </c>
      <c r="E61" s="153" t="s">
        <v>257</v>
      </c>
      <c r="F61" s="153" t="s">
        <v>257</v>
      </c>
      <c r="G61" s="153" t="s">
        <v>257</v>
      </c>
      <c r="H61" s="446"/>
      <c r="I61" s="153" t="s">
        <v>272</v>
      </c>
    </row>
    <row r="62" spans="1:21" ht="47.25" customHeight="1">
      <c r="A62" s="45">
        <f>+A45+1</f>
        <v>27</v>
      </c>
      <c r="B62" s="504" t="s">
        <v>308</v>
      </c>
      <c r="C62" s="779">
        <f>+SUM(D62:G62)</f>
        <v>0</v>
      </c>
      <c r="D62" s="779">
        <v>0</v>
      </c>
      <c r="E62" s="777"/>
      <c r="F62" s="777">
        <v>0</v>
      </c>
      <c r="G62" s="777">
        <v>0</v>
      </c>
      <c r="H62" s="688"/>
      <c r="I62" s="505" t="str">
        <f>+'1D - ADIT True-up'!I65</f>
        <v>Tax and book differences resulting from accelerated tax depreciation .  Included in prorated amount</v>
      </c>
      <c r="Q62" s="344"/>
      <c r="R62" s="344"/>
      <c r="S62" s="344"/>
      <c r="T62" s="344"/>
      <c r="U62" s="344"/>
    </row>
    <row r="63" spans="1:21" ht="46.5" customHeight="1">
      <c r="A63" s="45">
        <f>+A62+1</f>
        <v>28</v>
      </c>
      <c r="B63" s="333" t="s">
        <v>309</v>
      </c>
      <c r="C63" s="778">
        <f>+SUM(D63:G63)</f>
        <v>-10585316</v>
      </c>
      <c r="D63" s="778">
        <v>2028184</v>
      </c>
      <c r="E63" s="778">
        <v>-8220708</v>
      </c>
      <c r="F63" s="778">
        <v>0</v>
      </c>
      <c r="G63" s="778">
        <v>-4392792</v>
      </c>
      <c r="H63" s="687"/>
      <c r="I63" s="652" t="s">
        <v>310</v>
      </c>
      <c r="Q63" s="344"/>
      <c r="R63" s="344"/>
      <c r="S63" s="344"/>
      <c r="T63" s="344"/>
      <c r="U63" s="344"/>
    </row>
    <row r="64" spans="1:21" ht="35.1" customHeight="1" thickBot="1">
      <c r="A64" s="45">
        <f>+A63+1</f>
        <v>29</v>
      </c>
      <c r="B64" s="330" t="s">
        <v>67</v>
      </c>
      <c r="C64" s="557">
        <f>+SUM(C62:C63)</f>
        <v>-10585316</v>
      </c>
      <c r="D64" s="557">
        <f t="shared" ref="D64:G64" si="9">+SUM(D62:D63)</f>
        <v>2028184</v>
      </c>
      <c r="E64" s="557">
        <f t="shared" si="9"/>
        <v>-8220708</v>
      </c>
      <c r="F64" s="557">
        <f t="shared" si="9"/>
        <v>0</v>
      </c>
      <c r="G64" s="557">
        <f t="shared" si="9"/>
        <v>-4392792</v>
      </c>
      <c r="H64" s="557"/>
      <c r="I64" s="329"/>
      <c r="Q64" s="344"/>
      <c r="R64" s="344"/>
      <c r="S64" s="344"/>
      <c r="T64" s="344"/>
      <c r="U64" s="344"/>
    </row>
    <row r="65" spans="2:9" ht="25.15" customHeight="1">
      <c r="B65" s="45" t="s">
        <v>311</v>
      </c>
      <c r="E65" s="59"/>
      <c r="F65" s="467"/>
      <c r="I65" s="445"/>
    </row>
    <row r="66" spans="2:9" ht="21" customHeight="1">
      <c r="B66" s="154" t="s">
        <v>312</v>
      </c>
      <c r="G66" s="59"/>
      <c r="H66" s="59"/>
      <c r="I66" s="59"/>
    </row>
    <row r="67" spans="2:9" ht="15" customHeight="1">
      <c r="B67" s="154" t="s">
        <v>301</v>
      </c>
      <c r="G67" s="59"/>
      <c r="H67" s="59"/>
      <c r="I67" s="59"/>
    </row>
    <row r="68" spans="2:9" ht="19.149999999999999" customHeight="1">
      <c r="B68" s="154" t="s">
        <v>313</v>
      </c>
      <c r="G68" s="59"/>
      <c r="H68" s="59"/>
      <c r="I68" s="59"/>
    </row>
    <row r="69" spans="2:9" ht="18.600000000000001" customHeight="1">
      <c r="B69" s="154" t="s">
        <v>314</v>
      </c>
      <c r="G69" s="59"/>
      <c r="H69" s="59"/>
      <c r="I69" s="59"/>
    </row>
    <row r="70" spans="2:9" ht="18.600000000000001" customHeight="1">
      <c r="B70" s="891" t="s">
        <v>304</v>
      </c>
      <c r="C70" s="891"/>
      <c r="D70" s="891"/>
      <c r="E70" s="891"/>
      <c r="F70" s="891"/>
      <c r="G70" s="891"/>
      <c r="H70" s="891"/>
      <c r="I70" s="891"/>
    </row>
    <row r="71" spans="2:9">
      <c r="B71" s="154" t="s">
        <v>305</v>
      </c>
      <c r="C71" s="59"/>
      <c r="D71" s="469"/>
      <c r="E71" s="59"/>
      <c r="F71" s="59"/>
      <c r="G71" s="59"/>
      <c r="H71" s="59"/>
      <c r="I71" s="445"/>
    </row>
    <row r="72" spans="2:9">
      <c r="F72" s="59"/>
      <c r="G72" s="59"/>
      <c r="H72" s="59"/>
      <c r="I72" s="445"/>
    </row>
    <row r="73" spans="2:9">
      <c r="F73" s="59"/>
      <c r="G73" s="59"/>
      <c r="H73" s="59"/>
      <c r="I73" s="445"/>
    </row>
    <row r="74" spans="2:9" ht="15.75">
      <c r="B74" s="159"/>
    </row>
    <row r="75" spans="2:9" s="151" customFormat="1" ht="18">
      <c r="B75" s="172" t="str">
        <f>B1</f>
        <v>Dayton Power and Light</v>
      </c>
      <c r="C75" s="173"/>
      <c r="D75" s="173"/>
      <c r="E75" s="173"/>
      <c r="F75" s="173"/>
      <c r="G75" s="173"/>
      <c r="H75" s="173"/>
      <c r="I75" s="173"/>
    </row>
    <row r="76" spans="2:9" s="151" customFormat="1" ht="18">
      <c r="B76" s="892" t="str">
        <f>+B55</f>
        <v xml:space="preserve">ATTACHMENT H-15A </v>
      </c>
      <c r="C76" s="892"/>
      <c r="D76" s="892"/>
      <c r="E76" s="892"/>
      <c r="F76" s="892"/>
      <c r="G76" s="892"/>
      <c r="H76" s="892"/>
      <c r="I76" s="892"/>
    </row>
    <row r="77" spans="2:9" s="151" customFormat="1" ht="18">
      <c r="B77" s="892" t="str">
        <f>+B3</f>
        <v>Attachment 1A - Accumulated Deferred Income Taxes (ADIT) Worksheet - Projected December 31, 2024</v>
      </c>
      <c r="C77" s="892"/>
      <c r="D77" s="892"/>
      <c r="E77" s="892"/>
      <c r="F77" s="892"/>
      <c r="G77" s="892"/>
      <c r="H77" s="892"/>
      <c r="I77" s="892"/>
    </row>
    <row r="78" spans="2:9" s="151" customFormat="1" ht="18.75">
      <c r="B78" s="163"/>
      <c r="G78" s="149"/>
      <c r="H78" s="149"/>
      <c r="I78" s="164"/>
    </row>
    <row r="79" spans="2:9" ht="15.75">
      <c r="B79" s="159" t="s">
        <v>207</v>
      </c>
      <c r="C79" s="159" t="s">
        <v>209</v>
      </c>
      <c r="D79" s="159" t="s">
        <v>211</v>
      </c>
      <c r="E79" s="159" t="s">
        <v>213</v>
      </c>
      <c r="F79" s="159" t="s">
        <v>215</v>
      </c>
      <c r="G79" s="159" t="s">
        <v>217</v>
      </c>
      <c r="H79" s="159"/>
      <c r="I79" s="159" t="s">
        <v>219</v>
      </c>
    </row>
    <row r="80" spans="2:9" ht="15.75">
      <c r="B80" s="155" t="s">
        <v>315</v>
      </c>
      <c r="C80" s="159" t="s">
        <v>67</v>
      </c>
      <c r="D80" s="165"/>
      <c r="E80" s="159" t="s">
        <v>56</v>
      </c>
      <c r="F80" s="165" t="s">
        <v>255</v>
      </c>
      <c r="G80" s="165" t="s">
        <v>256</v>
      </c>
      <c r="H80" s="159"/>
    </row>
    <row r="81" spans="1:21" ht="16.149999999999999" customHeight="1" thickBot="1">
      <c r="C81" s="159"/>
      <c r="D81" s="159" t="str">
        <f>+D61</f>
        <v>Excluded</v>
      </c>
      <c r="E81" s="159" t="s">
        <v>257</v>
      </c>
      <c r="F81" s="159"/>
      <c r="G81" s="159"/>
      <c r="H81" s="451"/>
      <c r="I81" s="153" t="s">
        <v>272</v>
      </c>
    </row>
    <row r="82" spans="1:21" ht="25.15" customHeight="1">
      <c r="A82" s="59">
        <f>+A62+1</f>
        <v>28</v>
      </c>
      <c r="B82" s="332"/>
      <c r="C82" s="777"/>
      <c r="D82" s="777"/>
      <c r="E82" s="777"/>
      <c r="F82" s="777"/>
      <c r="G82" s="777"/>
      <c r="H82" s="689"/>
      <c r="I82" s="651" t="s">
        <v>317</v>
      </c>
      <c r="Q82" s="344"/>
      <c r="R82" s="344"/>
      <c r="S82" s="344"/>
      <c r="T82" s="344"/>
      <c r="U82" s="344"/>
    </row>
    <row r="83" spans="1:21" ht="33.6" customHeight="1">
      <c r="A83" s="59">
        <f>+A82+1</f>
        <v>29</v>
      </c>
      <c r="B83" s="333" t="s">
        <v>318</v>
      </c>
      <c r="C83" s="778">
        <f>+SUM(D83:G83)</f>
        <v>-385279</v>
      </c>
      <c r="D83" s="778">
        <v>-385279</v>
      </c>
      <c r="E83" s="778">
        <v>0</v>
      </c>
      <c r="F83" s="778">
        <v>0</v>
      </c>
      <c r="G83" s="778">
        <v>0</v>
      </c>
      <c r="H83" s="690"/>
      <c r="I83" s="408" t="s">
        <v>319</v>
      </c>
      <c r="Q83" s="344"/>
      <c r="R83" s="344"/>
      <c r="S83" s="344"/>
      <c r="T83" s="344"/>
      <c r="U83" s="344"/>
    </row>
    <row r="84" spans="1:21" ht="36.75" customHeight="1">
      <c r="A84" s="59">
        <f t="shared" ref="A84:A92" si="10">+A83+1</f>
        <v>30</v>
      </c>
      <c r="B84" s="333" t="s">
        <v>320</v>
      </c>
      <c r="C84" s="778">
        <f>+SUM(D84:G84)</f>
        <v>-16926760</v>
      </c>
      <c r="D84" s="778">
        <v>-16926760</v>
      </c>
      <c r="E84" s="778">
        <v>0</v>
      </c>
      <c r="F84" s="778">
        <v>0</v>
      </c>
      <c r="G84" s="778">
        <v>0</v>
      </c>
      <c r="H84" s="690"/>
      <c r="I84" s="408" t="s">
        <v>321</v>
      </c>
      <c r="Q84" s="344"/>
      <c r="R84" s="344"/>
      <c r="S84" s="344"/>
      <c r="T84" s="344"/>
      <c r="U84" s="344"/>
    </row>
    <row r="85" spans="1:21" ht="31.5" customHeight="1">
      <c r="A85" s="59">
        <f t="shared" si="10"/>
        <v>31</v>
      </c>
      <c r="B85" s="333" t="s">
        <v>322</v>
      </c>
      <c r="C85" s="778">
        <f>+SUM(D85:G85)</f>
        <v>-22843062</v>
      </c>
      <c r="D85" s="778">
        <v>-22843062</v>
      </c>
      <c r="E85" s="778">
        <v>0</v>
      </c>
      <c r="F85" s="778">
        <v>0</v>
      </c>
      <c r="G85" s="778">
        <v>0</v>
      </c>
      <c r="H85" s="690"/>
      <c r="I85" s="408" t="s">
        <v>323</v>
      </c>
      <c r="Q85" s="344"/>
      <c r="R85" s="344"/>
      <c r="S85" s="344"/>
      <c r="T85" s="344"/>
      <c r="U85" s="344"/>
    </row>
    <row r="86" spans="1:21" ht="25.15" customHeight="1">
      <c r="A86" s="59">
        <f t="shared" si="10"/>
        <v>32</v>
      </c>
      <c r="B86" s="503" t="s">
        <v>324</v>
      </c>
      <c r="C86" s="778">
        <f>+SUM(D86:G86)</f>
        <v>9229225</v>
      </c>
      <c r="D86" s="778">
        <v>0</v>
      </c>
      <c r="E86" s="778">
        <v>0</v>
      </c>
      <c r="F86" s="778">
        <v>9229225</v>
      </c>
      <c r="G86" s="778">
        <v>0</v>
      </c>
      <c r="H86" s="690"/>
      <c r="I86" s="404" t="s">
        <v>279</v>
      </c>
      <c r="Q86" s="344"/>
      <c r="R86" s="344"/>
      <c r="S86" s="344"/>
      <c r="T86" s="344"/>
      <c r="U86" s="344"/>
    </row>
    <row r="87" spans="1:21" ht="25.15" customHeight="1">
      <c r="A87" s="59">
        <f t="shared" si="10"/>
        <v>33</v>
      </c>
      <c r="B87" s="333" t="s">
        <v>325</v>
      </c>
      <c r="C87" s="778">
        <f>+SUM(D87:G87)</f>
        <v>914031</v>
      </c>
      <c r="D87" s="778">
        <v>0</v>
      </c>
      <c r="E87" s="778">
        <v>0</v>
      </c>
      <c r="F87" s="778">
        <v>0</v>
      </c>
      <c r="G87" s="778">
        <v>914031</v>
      </c>
      <c r="H87" s="690"/>
      <c r="I87" s="408" t="s">
        <v>326</v>
      </c>
      <c r="Q87" s="344"/>
      <c r="R87" s="344"/>
      <c r="S87" s="344"/>
      <c r="T87" s="344"/>
      <c r="U87" s="344"/>
    </row>
    <row r="88" spans="1:21" ht="35.25" customHeight="1">
      <c r="A88" s="59">
        <f>+A87+1</f>
        <v>34</v>
      </c>
      <c r="B88" s="333" t="s">
        <v>294</v>
      </c>
      <c r="C88" s="778">
        <f>+C89-SUM(C82:C87)</f>
        <v>11384094</v>
      </c>
      <c r="D88" s="778">
        <f>+C88</f>
        <v>11384094</v>
      </c>
      <c r="E88" s="778">
        <v>0</v>
      </c>
      <c r="F88" s="778">
        <v>0</v>
      </c>
      <c r="G88" s="778">
        <v>0</v>
      </c>
      <c r="H88" s="690"/>
      <c r="I88" s="408" t="s">
        <v>327</v>
      </c>
      <c r="Q88" s="344"/>
      <c r="R88" s="344"/>
      <c r="S88" s="344"/>
      <c r="T88" s="344"/>
      <c r="U88" s="344"/>
    </row>
    <row r="89" spans="1:21" ht="25.15" customHeight="1">
      <c r="A89" s="59">
        <f t="shared" si="10"/>
        <v>35</v>
      </c>
      <c r="B89" s="174" t="s">
        <v>328</v>
      </c>
      <c r="C89" s="562">
        <v>-18627751</v>
      </c>
      <c r="D89" s="562">
        <f>SUM(D80:D88)</f>
        <v>-28771007</v>
      </c>
      <c r="E89" s="562">
        <f>SUM(E80:E88)</f>
        <v>0</v>
      </c>
      <c r="F89" s="562">
        <f>SUM(F80:F88)</f>
        <v>9229225</v>
      </c>
      <c r="G89" s="562">
        <f t="shared" ref="G89" si="11">SUM(G80:G88)</f>
        <v>914031</v>
      </c>
      <c r="H89" s="562"/>
      <c r="I89" s="175"/>
      <c r="Q89" s="344"/>
      <c r="R89" s="344"/>
      <c r="S89" s="344"/>
      <c r="T89" s="344"/>
      <c r="U89" s="344"/>
    </row>
    <row r="90" spans="1:21" ht="25.15" customHeight="1">
      <c r="A90" s="59">
        <f t="shared" si="10"/>
        <v>36</v>
      </c>
      <c r="B90" s="166" t="s">
        <v>329</v>
      </c>
      <c r="C90" s="554">
        <f t="shared" ref="C90:G90" si="12">+C86</f>
        <v>9229225</v>
      </c>
      <c r="D90" s="554">
        <f t="shared" si="12"/>
        <v>0</v>
      </c>
      <c r="E90" s="554">
        <f t="shared" si="12"/>
        <v>0</v>
      </c>
      <c r="F90" s="554">
        <f t="shared" si="12"/>
        <v>9229225</v>
      </c>
      <c r="G90" s="554">
        <f t="shared" si="12"/>
        <v>0</v>
      </c>
      <c r="H90" s="554"/>
      <c r="I90" s="167"/>
      <c r="Q90" s="344"/>
      <c r="R90" s="344"/>
      <c r="S90" s="344"/>
      <c r="T90" s="344"/>
      <c r="U90" s="344"/>
    </row>
    <row r="91" spans="1:21" ht="25.15" customHeight="1">
      <c r="A91" s="59">
        <f t="shared" si="10"/>
        <v>37</v>
      </c>
      <c r="B91" s="394" t="s">
        <v>330</v>
      </c>
      <c r="C91" s="563">
        <f t="shared" ref="C91:G91" si="13">+C83</f>
        <v>-385279</v>
      </c>
      <c r="D91" s="563">
        <f t="shared" si="13"/>
        <v>-385279</v>
      </c>
      <c r="E91" s="563">
        <f t="shared" si="13"/>
        <v>0</v>
      </c>
      <c r="F91" s="563">
        <f t="shared" si="13"/>
        <v>0</v>
      </c>
      <c r="G91" s="563">
        <f t="shared" si="13"/>
        <v>0</v>
      </c>
      <c r="H91" s="563"/>
      <c r="I91" s="395" t="s">
        <v>331</v>
      </c>
      <c r="Q91" s="344"/>
      <c r="R91" s="344"/>
      <c r="S91" s="344"/>
      <c r="T91" s="344"/>
      <c r="U91" s="344"/>
    </row>
    <row r="92" spans="1:21" ht="35.1" customHeight="1" thickBot="1">
      <c r="A92" s="59">
        <f t="shared" si="10"/>
        <v>38</v>
      </c>
      <c r="B92" s="330" t="s">
        <v>67</v>
      </c>
      <c r="C92" s="557">
        <f>+C89-C90-C91</f>
        <v>-27471697</v>
      </c>
      <c r="D92" s="557">
        <f t="shared" ref="D92:G92" si="14">+D89-D90-D91</f>
        <v>-28385728</v>
      </c>
      <c r="E92" s="557">
        <f t="shared" si="14"/>
        <v>0</v>
      </c>
      <c r="F92" s="557">
        <f t="shared" si="14"/>
        <v>0</v>
      </c>
      <c r="G92" s="557">
        <f t="shared" si="14"/>
        <v>914031</v>
      </c>
      <c r="H92" s="557"/>
      <c r="I92" s="329"/>
      <c r="Q92" s="344"/>
      <c r="R92" s="344"/>
      <c r="S92" s="344"/>
      <c r="T92" s="344"/>
      <c r="U92" s="344"/>
    </row>
    <row r="93" spans="1:21">
      <c r="C93" s="156"/>
      <c r="D93" s="156"/>
      <c r="E93" s="156"/>
      <c r="F93" s="156"/>
      <c r="G93" s="156"/>
      <c r="H93" s="156"/>
      <c r="I93" s="445"/>
      <c r="Q93" s="344"/>
      <c r="R93" s="344"/>
      <c r="S93" s="344"/>
      <c r="T93" s="344"/>
      <c r="U93" s="344"/>
    </row>
    <row r="94" spans="1:21" ht="20.45" customHeight="1">
      <c r="B94" s="45" t="s">
        <v>332</v>
      </c>
      <c r="E94" s="59"/>
      <c r="F94" s="59"/>
      <c r="I94" s="168"/>
    </row>
    <row r="95" spans="1:21" ht="21" customHeight="1">
      <c r="B95" s="154" t="str">
        <f>+B66</f>
        <v>1.  ADIT items related only to Non-Electric Operations or Production are directly assigned to Column C</v>
      </c>
      <c r="G95" s="59"/>
      <c r="H95" s="59"/>
      <c r="I95" s="59"/>
    </row>
    <row r="96" spans="1:21" ht="19.149999999999999" customHeight="1">
      <c r="B96" s="154" t="s">
        <v>301</v>
      </c>
      <c r="G96" s="59"/>
      <c r="H96" s="59"/>
      <c r="I96" s="59"/>
    </row>
    <row r="97" spans="2:9" ht="17.45" customHeight="1">
      <c r="B97" s="154" t="s">
        <v>313</v>
      </c>
      <c r="G97" s="59"/>
      <c r="H97" s="59"/>
      <c r="I97" s="59"/>
    </row>
    <row r="98" spans="2:9" ht="19.149999999999999" customHeight="1">
      <c r="B98" s="154" t="s">
        <v>314</v>
      </c>
      <c r="G98" s="59"/>
      <c r="H98" s="59"/>
      <c r="I98" s="59"/>
    </row>
    <row r="99" spans="2:9" ht="19.149999999999999" customHeight="1">
      <c r="B99" s="891" t="s">
        <v>304</v>
      </c>
      <c r="C99" s="891"/>
      <c r="D99" s="891"/>
      <c r="E99" s="891"/>
      <c r="F99" s="891"/>
      <c r="G99" s="891"/>
      <c r="H99" s="891"/>
      <c r="I99" s="891"/>
    </row>
    <row r="100" spans="2:9">
      <c r="B100" s="154" t="s">
        <v>305</v>
      </c>
      <c r="C100" s="59"/>
      <c r="D100" s="469"/>
      <c r="E100" s="59"/>
      <c r="F100" s="59"/>
      <c r="G100" s="59"/>
      <c r="H100" s="59"/>
      <c r="I100" s="445"/>
    </row>
    <row r="101" spans="2:9">
      <c r="C101" s="170"/>
      <c r="D101" s="170"/>
      <c r="E101" s="170"/>
      <c r="F101" s="170"/>
      <c r="G101" s="170"/>
      <c r="H101" s="170"/>
      <c r="I101" s="170"/>
    </row>
    <row r="102" spans="2:9" ht="15.75">
      <c r="B102" s="890"/>
      <c r="C102" s="890"/>
      <c r="D102" s="890"/>
      <c r="E102" s="890"/>
      <c r="F102" s="890"/>
      <c r="G102" s="890"/>
      <c r="H102" s="890"/>
      <c r="I102" s="890"/>
    </row>
    <row r="103" spans="2:9">
      <c r="B103" s="45"/>
    </row>
    <row r="104" spans="2:9">
      <c r="B104" s="45"/>
    </row>
    <row r="105" spans="2:9">
      <c r="B105" s="45"/>
    </row>
    <row r="106" spans="2:9" ht="15.75">
      <c r="B106" s="58"/>
      <c r="D106" s="171"/>
      <c r="E106" s="171"/>
      <c r="F106" s="171"/>
      <c r="G106" s="171"/>
      <c r="H106" s="171"/>
      <c r="I106" s="171"/>
    </row>
    <row r="107" spans="2:9" ht="15.75">
      <c r="B107" s="58"/>
      <c r="D107" s="171"/>
      <c r="E107" s="171"/>
      <c r="F107" s="171"/>
      <c r="G107" s="171"/>
      <c r="H107" s="171"/>
      <c r="I107" s="171"/>
    </row>
    <row r="108" spans="2:9">
      <c r="D108" s="59"/>
      <c r="E108" s="59"/>
    </row>
    <row r="109" spans="2:9">
      <c r="D109" s="17"/>
      <c r="E109" s="17"/>
    </row>
    <row r="110" spans="2:9">
      <c r="D110" s="17"/>
      <c r="E110" s="17"/>
    </row>
    <row r="111" spans="2:9">
      <c r="D111" s="17"/>
      <c r="E111" s="17"/>
    </row>
    <row r="112" spans="2:9">
      <c r="D112" s="17"/>
      <c r="E112" s="17"/>
    </row>
    <row r="113" spans="2:5">
      <c r="D113" s="17"/>
      <c r="E113" s="17"/>
    </row>
    <row r="114" spans="2:5">
      <c r="D114" s="17"/>
      <c r="E114" s="17"/>
    </row>
    <row r="115" spans="2:5">
      <c r="D115" s="17"/>
      <c r="E115" s="17"/>
    </row>
    <row r="116" spans="2:5">
      <c r="D116" s="17"/>
      <c r="E116" s="17"/>
    </row>
    <row r="117" spans="2:5">
      <c r="D117" s="17"/>
      <c r="E117" s="17"/>
    </row>
    <row r="118" spans="2:5">
      <c r="D118" s="17"/>
      <c r="E118" s="17"/>
    </row>
    <row r="119" spans="2:5">
      <c r="B119" s="45"/>
      <c r="D119" s="17"/>
      <c r="E119" s="17"/>
    </row>
    <row r="120" spans="2:5">
      <c r="D120" s="17"/>
      <c r="E120" s="17"/>
    </row>
    <row r="121" spans="2:5">
      <c r="B121" s="45"/>
      <c r="D121" s="17"/>
      <c r="E121" s="17"/>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I1"/>
    <mergeCell ref="B3:I3"/>
    <mergeCell ref="B2:I2"/>
    <mergeCell ref="B56:I56"/>
    <mergeCell ref="B76:I76"/>
    <mergeCell ref="B102:I102"/>
    <mergeCell ref="B47:I47"/>
    <mergeCell ref="B51:I51"/>
    <mergeCell ref="B77:I77"/>
    <mergeCell ref="B54:I54"/>
    <mergeCell ref="B55:I55"/>
    <mergeCell ref="B70:I70"/>
    <mergeCell ref="B99:I99"/>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 name="EpmWorksheetKeyString_GUID" r:id="rId4"/>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dimension ref="A1:N40"/>
  <sheetViews>
    <sheetView topLeftCell="A7" workbookViewId="0">
      <selection activeCell="B40" sqref="B40"/>
    </sheetView>
  </sheetViews>
  <sheetFormatPr defaultRowHeight="12.75"/>
  <cols>
    <col min="1" max="1" width="3.85546875" customWidth="1"/>
    <col min="2" max="2" width="31" customWidth="1"/>
    <col min="6" max="6" width="14" bestFit="1" customWidth="1"/>
    <col min="8" max="8" width="12.5703125" customWidth="1"/>
    <col min="10" max="10" width="11.28515625" customWidth="1"/>
    <col min="12" max="12" width="10.28515625" bestFit="1" customWidth="1"/>
    <col min="14" max="14" width="14.5703125" customWidth="1"/>
  </cols>
  <sheetData>
    <row r="1" spans="1:14" ht="15.75">
      <c r="B1" s="890" t="str">
        <f>+'9 - Excess ADIT'!I2</f>
        <v>Dayton Power and Light</v>
      </c>
      <c r="C1" s="890"/>
      <c r="D1" s="890"/>
      <c r="E1" s="890"/>
      <c r="F1" s="890"/>
      <c r="G1" s="890"/>
      <c r="H1" s="890"/>
      <c r="I1" s="890"/>
      <c r="J1" s="890"/>
      <c r="K1" s="890"/>
      <c r="L1" s="890"/>
      <c r="M1" s="890"/>
    </row>
    <row r="2" spans="1:14" ht="15.75">
      <c r="B2" s="890" t="str">
        <f>+'9 - Excess ADIT'!I3</f>
        <v xml:space="preserve">ATTACHMENT H-15A </v>
      </c>
      <c r="C2" s="890"/>
      <c r="D2" s="890"/>
      <c r="E2" s="890"/>
      <c r="F2" s="890"/>
      <c r="G2" s="890"/>
      <c r="H2" s="890"/>
      <c r="I2" s="890"/>
      <c r="J2" s="890"/>
      <c r="K2" s="890"/>
      <c r="L2" s="890"/>
      <c r="M2" s="890"/>
    </row>
    <row r="3" spans="1:14" ht="15.75">
      <c r="B3" s="890" t="s">
        <v>941</v>
      </c>
      <c r="C3" s="890"/>
      <c r="D3" s="890"/>
      <c r="E3" s="890"/>
      <c r="F3" s="890"/>
      <c r="G3" s="890"/>
      <c r="H3" s="890"/>
      <c r="I3" s="890"/>
      <c r="J3" s="890"/>
      <c r="K3" s="890"/>
      <c r="L3" s="890"/>
      <c r="M3" s="890"/>
    </row>
    <row r="4" spans="1:14" ht="15.75">
      <c r="B4" s="939" t="s">
        <v>1019</v>
      </c>
      <c r="C4" s="939"/>
      <c r="D4" s="939"/>
      <c r="E4" s="939"/>
      <c r="F4" s="939"/>
      <c r="G4" s="939"/>
      <c r="H4" s="939"/>
      <c r="I4" s="939"/>
      <c r="J4" s="939"/>
      <c r="K4" s="939"/>
      <c r="L4" s="939"/>
      <c r="M4" s="939"/>
    </row>
    <row r="5" spans="1:14" ht="15.75">
      <c r="B5" s="159"/>
      <c r="C5" s="159"/>
      <c r="D5" s="159"/>
      <c r="E5" s="159"/>
      <c r="F5" s="159"/>
      <c r="G5" s="159"/>
      <c r="H5" s="159"/>
      <c r="I5" s="159"/>
      <c r="J5" s="159"/>
      <c r="K5" s="159"/>
      <c r="L5" s="159"/>
      <c r="M5" s="159"/>
    </row>
    <row r="6" spans="1:14">
      <c r="H6" s="929" t="s">
        <v>942</v>
      </c>
      <c r="I6" s="929"/>
      <c r="J6" s="929"/>
      <c r="K6" s="929"/>
      <c r="L6" s="929"/>
    </row>
    <row r="7" spans="1:14" ht="47.25" customHeight="1">
      <c r="A7" s="354" t="s">
        <v>826</v>
      </c>
      <c r="B7" s="712" t="s">
        <v>770</v>
      </c>
      <c r="C7" s="712"/>
      <c r="D7" s="712" t="s">
        <v>494</v>
      </c>
      <c r="E7" s="712"/>
      <c r="F7" s="712" t="s">
        <v>439</v>
      </c>
      <c r="G7" s="712"/>
      <c r="H7" s="712" t="s">
        <v>56</v>
      </c>
      <c r="I7" s="712"/>
      <c r="J7" s="712" t="s">
        <v>943</v>
      </c>
      <c r="K7" s="712"/>
      <c r="L7" s="712" t="s">
        <v>294</v>
      </c>
      <c r="N7" s="717" t="s">
        <v>944</v>
      </c>
    </row>
    <row r="9" spans="1:14">
      <c r="A9">
        <v>1</v>
      </c>
      <c r="B9" s="354" t="s">
        <v>945</v>
      </c>
      <c r="D9">
        <v>920</v>
      </c>
      <c r="F9" s="813">
        <f>+H9+J9+L9</f>
        <v>18101947</v>
      </c>
      <c r="G9" s="457"/>
      <c r="H9" s="813">
        <v>2607513</v>
      </c>
      <c r="I9" s="180"/>
      <c r="J9" s="813">
        <v>15433629</v>
      </c>
      <c r="K9" s="180"/>
      <c r="L9" s="813">
        <v>60805</v>
      </c>
      <c r="M9" s="354"/>
      <c r="N9" s="814">
        <f>+L9</f>
        <v>60805</v>
      </c>
    </row>
    <row r="10" spans="1:14">
      <c r="F10" s="180"/>
      <c r="G10" s="457"/>
      <c r="H10" s="180"/>
      <c r="I10" s="180"/>
      <c r="J10" s="180"/>
      <c r="K10" s="180"/>
      <c r="L10" s="180"/>
      <c r="M10" s="354"/>
      <c r="N10" s="180"/>
    </row>
    <row r="11" spans="1:14">
      <c r="A11">
        <f>+A9+1</f>
        <v>2</v>
      </c>
      <c r="B11" s="354" t="s">
        <v>946</v>
      </c>
      <c r="D11">
        <v>921</v>
      </c>
      <c r="F11" s="813">
        <f>+H11+J11+L11</f>
        <v>7658075</v>
      </c>
      <c r="G11" s="457"/>
      <c r="H11" s="813">
        <v>651794</v>
      </c>
      <c r="I11" s="180"/>
      <c r="J11" s="813">
        <v>7006281</v>
      </c>
      <c r="K11" s="180"/>
      <c r="L11" s="813">
        <v>0</v>
      </c>
      <c r="M11" s="354"/>
      <c r="N11" s="814">
        <f>+L11</f>
        <v>0</v>
      </c>
    </row>
    <row r="12" spans="1:14">
      <c r="F12" s="180"/>
      <c r="G12" s="457"/>
      <c r="H12" s="180"/>
      <c r="I12" s="180"/>
      <c r="J12" s="180"/>
      <c r="K12" s="180"/>
      <c r="L12" s="180"/>
      <c r="M12" s="354"/>
      <c r="N12" s="180"/>
    </row>
    <row r="13" spans="1:14">
      <c r="A13">
        <f>+A11+1</f>
        <v>3</v>
      </c>
      <c r="B13" s="354" t="s">
        <v>947</v>
      </c>
      <c r="D13">
        <v>922</v>
      </c>
      <c r="F13" s="813">
        <f>+H13+J13+L13</f>
        <v>-1934984</v>
      </c>
      <c r="G13" s="457"/>
      <c r="H13" s="813">
        <v>-189982</v>
      </c>
      <c r="I13" s="180"/>
      <c r="J13" s="813">
        <v>-1745002</v>
      </c>
      <c r="K13" s="180"/>
      <c r="L13" s="813">
        <v>0</v>
      </c>
      <c r="M13" s="354"/>
      <c r="N13" s="814">
        <f>+L13</f>
        <v>0</v>
      </c>
    </row>
    <row r="14" spans="1:14">
      <c r="F14" s="180"/>
      <c r="G14" s="457"/>
      <c r="H14" s="180"/>
      <c r="I14" s="180"/>
      <c r="J14" s="180"/>
      <c r="K14" s="180"/>
      <c r="L14" s="180"/>
      <c r="M14" s="354"/>
      <c r="N14" s="180"/>
    </row>
    <row r="15" spans="1:14">
      <c r="A15">
        <f>+A13+1</f>
        <v>4</v>
      </c>
      <c r="B15" s="354" t="s">
        <v>948</v>
      </c>
      <c r="D15">
        <v>923</v>
      </c>
      <c r="F15" s="813">
        <f>+H15+J15+L15</f>
        <v>22546435</v>
      </c>
      <c r="G15" s="457"/>
      <c r="H15" s="813">
        <v>1091973</v>
      </c>
      <c r="I15" s="180"/>
      <c r="J15" s="813">
        <v>21454462</v>
      </c>
      <c r="K15" s="180"/>
      <c r="L15" s="813">
        <v>0</v>
      </c>
      <c r="M15" s="354"/>
      <c r="N15" s="814">
        <f>+L15</f>
        <v>0</v>
      </c>
    </row>
    <row r="16" spans="1:14">
      <c r="F16" s="180"/>
      <c r="G16" s="457"/>
      <c r="H16" s="180"/>
      <c r="I16" s="180"/>
      <c r="J16" s="180"/>
      <c r="K16" s="180"/>
      <c r="L16" s="180"/>
      <c r="M16" s="354"/>
      <c r="N16" s="180"/>
    </row>
    <row r="17" spans="1:14">
      <c r="A17">
        <f>+A15+1</f>
        <v>5</v>
      </c>
      <c r="B17" s="354" t="s">
        <v>949</v>
      </c>
      <c r="D17">
        <v>924</v>
      </c>
      <c r="F17" s="813">
        <f>+H17+J17+L17</f>
        <v>4435296</v>
      </c>
      <c r="G17" s="457"/>
      <c r="H17" s="813">
        <v>1324926</v>
      </c>
      <c r="I17" s="180"/>
      <c r="J17" s="813">
        <v>3110370</v>
      </c>
      <c r="K17" s="180"/>
      <c r="L17" s="813">
        <v>0</v>
      </c>
      <c r="M17" s="354"/>
      <c r="N17" s="814">
        <f>+L17</f>
        <v>0</v>
      </c>
    </row>
    <row r="18" spans="1:14">
      <c r="F18" s="180"/>
      <c r="G18" s="457"/>
      <c r="H18" s="180"/>
      <c r="I18" s="180"/>
      <c r="J18" s="180"/>
      <c r="K18" s="180"/>
      <c r="L18" s="180"/>
      <c r="M18" s="354"/>
      <c r="N18" s="180"/>
    </row>
    <row r="19" spans="1:14">
      <c r="A19">
        <f>+A17+1</f>
        <v>6</v>
      </c>
      <c r="B19" s="354" t="s">
        <v>950</v>
      </c>
      <c r="D19">
        <v>925</v>
      </c>
      <c r="F19" s="813">
        <f>+H19+J19+L19</f>
        <v>3829355</v>
      </c>
      <c r="G19" s="457"/>
      <c r="H19" s="813">
        <v>475657</v>
      </c>
      <c r="I19" s="180"/>
      <c r="J19" s="813">
        <v>3351239</v>
      </c>
      <c r="K19" s="180"/>
      <c r="L19" s="813">
        <v>2459</v>
      </c>
      <c r="M19" s="354"/>
      <c r="N19" s="814">
        <f>+L19</f>
        <v>2459</v>
      </c>
    </row>
    <row r="20" spans="1:14">
      <c r="F20" s="180"/>
      <c r="G20" s="457"/>
      <c r="H20" s="180"/>
      <c r="I20" s="180"/>
      <c r="J20" s="180"/>
      <c r="K20" s="180"/>
      <c r="L20" s="180"/>
      <c r="M20" s="354"/>
      <c r="N20" s="180"/>
    </row>
    <row r="21" spans="1:14">
      <c r="A21">
        <f>+A19+1</f>
        <v>7</v>
      </c>
      <c r="B21" s="354" t="s">
        <v>951</v>
      </c>
      <c r="D21">
        <v>926</v>
      </c>
      <c r="F21" s="813">
        <f>+H21+J21+L21</f>
        <v>9468957</v>
      </c>
      <c r="G21" s="457"/>
      <c r="H21" s="813">
        <v>824202</v>
      </c>
      <c r="I21" s="180"/>
      <c r="J21" s="813">
        <v>8638938</v>
      </c>
      <c r="K21" s="180"/>
      <c r="L21" s="813">
        <v>5817</v>
      </c>
      <c r="M21" s="354"/>
      <c r="N21" s="814">
        <f>+L21</f>
        <v>5817</v>
      </c>
    </row>
    <row r="22" spans="1:14">
      <c r="F22" s="180"/>
      <c r="G22" s="457"/>
      <c r="H22" s="180"/>
      <c r="I22" s="180"/>
      <c r="J22" s="180"/>
      <c r="K22" s="180"/>
      <c r="L22" s="180"/>
      <c r="M22" s="354"/>
      <c r="N22" s="180"/>
    </row>
    <row r="23" spans="1:14">
      <c r="A23">
        <f>+A21+1</f>
        <v>8</v>
      </c>
      <c r="B23" s="354" t="s">
        <v>952</v>
      </c>
      <c r="D23">
        <v>927</v>
      </c>
      <c r="F23" s="813">
        <f>+H23+J23+L23</f>
        <v>0</v>
      </c>
      <c r="G23" s="457"/>
      <c r="H23" s="813">
        <v>0</v>
      </c>
      <c r="I23" s="180"/>
      <c r="J23" s="813">
        <v>0</v>
      </c>
      <c r="K23" s="180"/>
      <c r="L23" s="813">
        <v>0</v>
      </c>
      <c r="M23" s="354"/>
      <c r="N23" s="814">
        <f>+L23</f>
        <v>0</v>
      </c>
    </row>
    <row r="24" spans="1:14">
      <c r="F24" s="180"/>
      <c r="G24" s="457"/>
      <c r="H24" s="180"/>
      <c r="I24" s="180"/>
      <c r="J24" s="180"/>
      <c r="K24" s="180"/>
      <c r="L24" s="180"/>
      <c r="M24" s="354"/>
      <c r="N24" s="180"/>
    </row>
    <row r="25" spans="1:14">
      <c r="A25">
        <f>+A23+1</f>
        <v>9</v>
      </c>
      <c r="B25" s="354" t="s">
        <v>953</v>
      </c>
      <c r="D25">
        <v>928</v>
      </c>
      <c r="F25" s="813">
        <f>+H25+J25+L25</f>
        <v>4461686</v>
      </c>
      <c r="G25" s="457"/>
      <c r="H25" s="813">
        <v>137187</v>
      </c>
      <c r="I25" s="180"/>
      <c r="J25" s="813">
        <v>4324499</v>
      </c>
      <c r="K25" s="180"/>
      <c r="L25" s="813">
        <v>0</v>
      </c>
      <c r="M25" s="354"/>
      <c r="N25" s="814">
        <f>+L25</f>
        <v>0</v>
      </c>
    </row>
    <row r="26" spans="1:14">
      <c r="F26" s="180"/>
      <c r="G26" s="457"/>
      <c r="H26" s="180"/>
      <c r="I26" s="180"/>
      <c r="J26" s="180"/>
      <c r="K26" s="180"/>
      <c r="L26" s="180"/>
      <c r="M26" s="354"/>
      <c r="N26" s="180"/>
    </row>
    <row r="27" spans="1:14">
      <c r="A27">
        <f>+A25+1</f>
        <v>10</v>
      </c>
      <c r="B27" s="354" t="s">
        <v>954</v>
      </c>
      <c r="D27">
        <v>929</v>
      </c>
      <c r="F27" s="813">
        <f>+H27+J27+L27</f>
        <v>-1076464</v>
      </c>
      <c r="G27" s="457"/>
      <c r="H27" s="813">
        <v>0</v>
      </c>
      <c r="I27" s="180"/>
      <c r="J27" s="813">
        <v>-1076464</v>
      </c>
      <c r="K27" s="180"/>
      <c r="L27" s="813">
        <v>0</v>
      </c>
      <c r="M27" s="354"/>
      <c r="N27" s="814">
        <f>+L27</f>
        <v>0</v>
      </c>
    </row>
    <row r="28" spans="1:14">
      <c r="F28" s="180"/>
      <c r="G28" s="457"/>
      <c r="H28" s="180"/>
      <c r="I28" s="180"/>
      <c r="J28" s="180"/>
      <c r="K28" s="180"/>
      <c r="L28" s="180"/>
      <c r="M28" s="354"/>
      <c r="N28" s="180"/>
    </row>
    <row r="29" spans="1:14">
      <c r="A29">
        <f>+A27+1</f>
        <v>11</v>
      </c>
      <c r="B29" s="354" t="s">
        <v>955</v>
      </c>
      <c r="D29">
        <v>930.1</v>
      </c>
      <c r="F29" s="813">
        <f>+H29+J29+L29</f>
        <v>770582</v>
      </c>
      <c r="G29" s="457"/>
      <c r="H29" s="813">
        <v>16410</v>
      </c>
      <c r="I29" s="180"/>
      <c r="J29" s="813">
        <v>754172</v>
      </c>
      <c r="K29" s="180"/>
      <c r="L29" s="813">
        <v>0</v>
      </c>
      <c r="M29" s="354"/>
      <c r="N29" s="814">
        <f>+L29</f>
        <v>0</v>
      </c>
    </row>
    <row r="30" spans="1:14">
      <c r="F30" s="180"/>
      <c r="G30" s="457"/>
      <c r="H30" s="180"/>
      <c r="I30" s="180"/>
      <c r="J30" s="180"/>
      <c r="K30" s="180"/>
      <c r="L30" s="180"/>
      <c r="M30" s="354"/>
      <c r="N30" s="180"/>
    </row>
    <row r="31" spans="1:14">
      <c r="A31">
        <f>+A29+1</f>
        <v>12</v>
      </c>
      <c r="B31" s="354" t="s">
        <v>956</v>
      </c>
      <c r="D31">
        <v>930.2</v>
      </c>
      <c r="F31" s="813">
        <f>+H31+J31+L31</f>
        <v>1089782</v>
      </c>
      <c r="G31" s="457"/>
      <c r="H31" s="813">
        <v>28626</v>
      </c>
      <c r="I31" s="180"/>
      <c r="J31" s="813">
        <v>1061156</v>
      </c>
      <c r="K31" s="180"/>
      <c r="L31" s="813">
        <v>0</v>
      </c>
      <c r="M31" s="354"/>
      <c r="N31" s="814">
        <f>+L31</f>
        <v>0</v>
      </c>
    </row>
    <row r="32" spans="1:14">
      <c r="F32" s="180"/>
      <c r="G32" s="457"/>
      <c r="H32" s="180"/>
      <c r="I32" s="180"/>
      <c r="J32" s="180"/>
      <c r="K32" s="180"/>
      <c r="L32" s="180"/>
      <c r="M32" s="354"/>
      <c r="N32" s="180"/>
    </row>
    <row r="33" spans="1:14">
      <c r="A33">
        <f>+A31+1</f>
        <v>13</v>
      </c>
      <c r="B33" s="354" t="s">
        <v>957</v>
      </c>
      <c r="D33">
        <v>931</v>
      </c>
      <c r="F33" s="813">
        <f>+H33+J33+L33</f>
        <v>150956</v>
      </c>
      <c r="G33" s="457"/>
      <c r="H33" s="813">
        <v>6505</v>
      </c>
      <c r="I33" s="180"/>
      <c r="J33" s="813">
        <v>144451</v>
      </c>
      <c r="K33" s="180"/>
      <c r="L33" s="813">
        <v>0</v>
      </c>
      <c r="M33" s="354"/>
      <c r="N33" s="814">
        <f>+L33</f>
        <v>0</v>
      </c>
    </row>
    <row r="34" spans="1:14">
      <c r="F34" s="180"/>
      <c r="G34" s="457"/>
      <c r="H34" s="180"/>
      <c r="I34" s="180"/>
      <c r="J34" s="180"/>
      <c r="K34" s="180"/>
      <c r="L34" s="180"/>
      <c r="M34" s="354"/>
      <c r="N34" s="180"/>
    </row>
    <row r="35" spans="1:14">
      <c r="A35">
        <f>+A33+1</f>
        <v>14</v>
      </c>
      <c r="B35" s="354" t="s">
        <v>958</v>
      </c>
      <c r="D35">
        <v>935</v>
      </c>
      <c r="F35" s="813">
        <f>+H35+J35+L35</f>
        <v>5460998</v>
      </c>
      <c r="G35" s="457"/>
      <c r="H35" s="813">
        <v>128396</v>
      </c>
      <c r="I35" s="180"/>
      <c r="J35" s="813">
        <v>5332602</v>
      </c>
      <c r="K35" s="180"/>
      <c r="L35" s="813">
        <v>0</v>
      </c>
      <c r="M35" s="354"/>
      <c r="N35" s="814">
        <f>+L35</f>
        <v>0</v>
      </c>
    </row>
    <row r="36" spans="1:14">
      <c r="F36" s="774"/>
      <c r="G36" s="713"/>
      <c r="H36" s="774"/>
      <c r="I36" s="713"/>
      <c r="J36" s="774"/>
      <c r="K36" s="713"/>
      <c r="L36" s="774"/>
      <c r="N36" s="713"/>
    </row>
    <row r="37" spans="1:14">
      <c r="A37">
        <f>+A35+1</f>
        <v>15</v>
      </c>
      <c r="B37" s="354" t="s">
        <v>67</v>
      </c>
      <c r="F37" s="636">
        <f>+SUM(F9:F35)</f>
        <v>74962621</v>
      </c>
      <c r="G37" s="636"/>
      <c r="H37" s="636">
        <f>+SUM(H9:H35)</f>
        <v>7103207</v>
      </c>
      <c r="I37" s="636"/>
      <c r="J37" s="636">
        <f>+SUM(J9:J35)</f>
        <v>67790333</v>
      </c>
      <c r="K37" s="636"/>
      <c r="L37" s="636">
        <f>+SUM(L9:L35)</f>
        <v>69081</v>
      </c>
      <c r="M37" s="636"/>
      <c r="N37" s="636">
        <f>+SUM(N9:N35)</f>
        <v>69081</v>
      </c>
    </row>
    <row r="40" spans="1:14">
      <c r="B40" s="870" t="s">
        <v>1033</v>
      </c>
    </row>
  </sheetData>
  <mergeCells count="5">
    <mergeCell ref="B1:M1"/>
    <mergeCell ref="B2:M2"/>
    <mergeCell ref="B3:M3"/>
    <mergeCell ref="B4:M4"/>
    <mergeCell ref="H6:L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pageSetUpPr fitToPage="1"/>
  </sheetPr>
  <dimension ref="A1:S38"/>
  <sheetViews>
    <sheetView zoomScale="70" zoomScaleNormal="70" workbookViewId="0">
      <selection activeCell="O11" sqref="O11:O23"/>
    </sheetView>
  </sheetViews>
  <sheetFormatPr defaultRowHeight="12.75"/>
  <cols>
    <col min="1" max="1" width="4.5703125" customWidth="1"/>
    <col min="2" max="2" width="37.85546875" customWidth="1"/>
    <col min="3" max="3" width="12.140625" bestFit="1" customWidth="1"/>
    <col min="4" max="4" width="12.140625" customWidth="1"/>
    <col min="5" max="5" width="17.42578125" customWidth="1"/>
    <col min="6" max="6" width="12.140625" customWidth="1"/>
    <col min="7" max="7" width="13.140625" bestFit="1" customWidth="1"/>
    <col min="8" max="8" width="18.28515625" customWidth="1"/>
    <col min="9" max="9" width="16.140625" customWidth="1"/>
    <col min="10" max="10" width="16.42578125" customWidth="1"/>
    <col min="11" max="13" width="14.7109375" customWidth="1"/>
    <col min="14" max="14" width="19.42578125" customWidth="1"/>
    <col min="15" max="15" width="13.5703125" bestFit="1" customWidth="1"/>
    <col min="16" max="16" width="11.28515625" customWidth="1"/>
    <col min="17" max="17" width="12.140625" bestFit="1" customWidth="1"/>
    <col min="18" max="18" width="14.7109375" customWidth="1"/>
    <col min="19" max="19" width="21.7109375" customWidth="1"/>
  </cols>
  <sheetData>
    <row r="1" spans="1:19" ht="18">
      <c r="H1" s="771" t="s">
        <v>0</v>
      </c>
      <c r="S1" s="627"/>
    </row>
    <row r="2" spans="1:19" ht="18">
      <c r="H2" s="771" t="s">
        <v>333</v>
      </c>
    </row>
    <row r="3" spans="1:19" ht="18">
      <c r="B3" s="391"/>
      <c r="C3" s="400"/>
      <c r="D3" s="400"/>
      <c r="E3" s="400"/>
      <c r="F3" s="400"/>
      <c r="G3" s="400"/>
      <c r="H3" s="431" t="s">
        <v>993</v>
      </c>
      <c r="I3" s="398"/>
      <c r="J3" s="400"/>
      <c r="K3" s="400"/>
      <c r="L3" s="400"/>
      <c r="M3" s="400"/>
      <c r="N3" s="400"/>
      <c r="O3" s="400"/>
      <c r="P3" s="400"/>
      <c r="Q3" s="400"/>
      <c r="R3" s="400"/>
    </row>
    <row r="4" spans="1:19" ht="18">
      <c r="B4" s="841" t="s">
        <v>959</v>
      </c>
      <c r="C4" s="400"/>
      <c r="D4" s="400"/>
      <c r="E4" s="400"/>
      <c r="F4" s="400"/>
      <c r="G4" s="400"/>
      <c r="H4" s="431"/>
      <c r="I4" s="398"/>
      <c r="J4" s="400"/>
      <c r="K4" s="400"/>
      <c r="L4" s="400"/>
      <c r="M4" s="400"/>
      <c r="N4" s="400"/>
      <c r="O4" s="400"/>
      <c r="P4" s="400"/>
      <c r="Q4" s="400"/>
      <c r="R4" s="400"/>
    </row>
    <row r="5" spans="1:19" ht="18">
      <c r="B5" s="45" t="s">
        <v>334</v>
      </c>
      <c r="C5" s="400"/>
      <c r="D5" s="400"/>
      <c r="E5" s="400"/>
      <c r="F5" s="400"/>
      <c r="G5" s="400"/>
      <c r="H5" s="431"/>
      <c r="I5" s="398"/>
      <c r="J5" s="400"/>
      <c r="K5" s="400"/>
      <c r="L5" s="400"/>
      <c r="M5" s="400"/>
      <c r="N5" s="400"/>
      <c r="O5" s="400"/>
      <c r="P5" s="400"/>
      <c r="Q5" s="400"/>
      <c r="R5" s="400"/>
    </row>
    <row r="6" spans="1:19" ht="15">
      <c r="A6" s="45"/>
      <c r="B6" s="541" t="s">
        <v>1030</v>
      </c>
      <c r="C6" s="390"/>
      <c r="D6" s="390"/>
      <c r="E6" s="390"/>
      <c r="F6" s="390"/>
      <c r="G6" s="390"/>
      <c r="H6" s="45"/>
      <c r="I6" s="45"/>
      <c r="J6" s="390"/>
      <c r="K6" s="390"/>
      <c r="L6" s="390"/>
      <c r="M6" s="390"/>
      <c r="N6" s="390"/>
      <c r="O6" s="390"/>
      <c r="P6" s="390"/>
      <c r="Q6" s="390"/>
      <c r="R6" s="390"/>
    </row>
    <row r="7" spans="1:19" ht="15">
      <c r="A7" s="45"/>
      <c r="B7" s="396" t="s">
        <v>335</v>
      </c>
      <c r="C7" s="390"/>
      <c r="D7" s="390"/>
      <c r="E7" s="390"/>
      <c r="F7" s="390"/>
      <c r="G7" s="390"/>
      <c r="H7" s="390"/>
      <c r="I7" s="390"/>
      <c r="J7" s="390"/>
      <c r="K7" s="390"/>
      <c r="L7" s="390"/>
      <c r="M7" s="390"/>
      <c r="N7" s="390"/>
      <c r="O7" s="390"/>
      <c r="P7" s="390"/>
      <c r="Q7" s="390"/>
      <c r="R7" s="390"/>
    </row>
    <row r="8" spans="1:19" ht="15">
      <c r="A8" s="45"/>
      <c r="B8" s="391" t="s">
        <v>336</v>
      </c>
      <c r="C8" s="391" t="s">
        <v>337</v>
      </c>
      <c r="D8" s="391" t="s">
        <v>338</v>
      </c>
      <c r="E8" s="391" t="s">
        <v>339</v>
      </c>
      <c r="F8" s="391" t="s">
        <v>340</v>
      </c>
      <c r="G8" s="391" t="s">
        <v>341</v>
      </c>
      <c r="H8" s="391" t="s">
        <v>342</v>
      </c>
      <c r="I8" s="391" t="s">
        <v>343</v>
      </c>
      <c r="J8" s="391" t="s">
        <v>344</v>
      </c>
      <c r="K8" s="391" t="s">
        <v>345</v>
      </c>
      <c r="L8" s="391" t="s">
        <v>346</v>
      </c>
      <c r="M8" s="391" t="s">
        <v>347</v>
      </c>
      <c r="N8" s="391" t="s">
        <v>348</v>
      </c>
      <c r="O8" s="391" t="s">
        <v>349</v>
      </c>
      <c r="P8" s="391" t="s">
        <v>350</v>
      </c>
      <c r="Q8" s="391" t="s">
        <v>351</v>
      </c>
      <c r="R8" s="391" t="s">
        <v>352</v>
      </c>
      <c r="S8" s="391" t="s">
        <v>353</v>
      </c>
    </row>
    <row r="9" spans="1:19" ht="75">
      <c r="A9" s="45"/>
      <c r="B9" s="397" t="s">
        <v>354</v>
      </c>
      <c r="C9" s="397" t="s">
        <v>355</v>
      </c>
      <c r="D9" s="397" t="s">
        <v>356</v>
      </c>
      <c r="E9" s="397" t="s">
        <v>357</v>
      </c>
      <c r="F9" s="397" t="s">
        <v>358</v>
      </c>
      <c r="G9" s="397" t="s">
        <v>359</v>
      </c>
      <c r="H9" s="397" t="s">
        <v>360</v>
      </c>
      <c r="I9" s="397" t="s">
        <v>56</v>
      </c>
      <c r="J9" s="397" t="s">
        <v>361</v>
      </c>
      <c r="K9" s="397" t="s">
        <v>362</v>
      </c>
      <c r="L9" s="397" t="s">
        <v>20</v>
      </c>
      <c r="M9" s="397" t="s">
        <v>363</v>
      </c>
      <c r="N9" s="397" t="s">
        <v>364</v>
      </c>
      <c r="O9" s="397" t="s">
        <v>365</v>
      </c>
      <c r="P9" s="397" t="s">
        <v>68</v>
      </c>
      <c r="Q9" s="397" t="s">
        <v>366</v>
      </c>
      <c r="R9" s="397" t="s">
        <v>367</v>
      </c>
      <c r="S9" s="397" t="s">
        <v>368</v>
      </c>
    </row>
    <row r="10" spans="1:19" ht="15">
      <c r="A10" s="45"/>
      <c r="B10" s="396"/>
      <c r="C10" s="391"/>
      <c r="D10" s="391"/>
      <c r="E10" s="391"/>
      <c r="F10" s="391"/>
      <c r="G10" s="391"/>
      <c r="H10" s="391"/>
      <c r="I10" s="391"/>
      <c r="J10" s="390"/>
      <c r="K10" s="390"/>
      <c r="L10" s="390"/>
      <c r="M10" s="390"/>
      <c r="N10" s="390"/>
      <c r="O10" s="390"/>
      <c r="P10" s="390"/>
      <c r="Q10" s="390"/>
      <c r="R10" s="179"/>
      <c r="S10" s="179"/>
    </row>
    <row r="11" spans="1:19" ht="45">
      <c r="A11" s="59">
        <v>1</v>
      </c>
      <c r="B11" s="454" t="s">
        <v>369</v>
      </c>
      <c r="C11" s="453">
        <v>0</v>
      </c>
      <c r="D11" s="453"/>
      <c r="E11" s="453"/>
      <c r="F11" s="453"/>
      <c r="G11" s="43">
        <f>365/365</f>
        <v>1</v>
      </c>
      <c r="H11" s="564">
        <f>+J11+N11+R11</f>
        <v>-36083641.482434168</v>
      </c>
      <c r="I11" s="565">
        <v>-34893699</v>
      </c>
      <c r="J11" s="566">
        <f>G11*I11</f>
        <v>-34893699</v>
      </c>
      <c r="K11" s="565">
        <v>0</v>
      </c>
      <c r="L11" s="461">
        <f>+'Appendix A'!$H$27</f>
        <v>0.26818076319772116</v>
      </c>
      <c r="M11" s="629">
        <f>+K11*L11</f>
        <v>0</v>
      </c>
      <c r="N11" s="566">
        <f>+G11*M11</f>
        <v>0</v>
      </c>
      <c r="O11" s="565">
        <v>-9512912</v>
      </c>
      <c r="P11" s="461">
        <f>+'Appendix A'!$H$16</f>
        <v>0.12508709030780155</v>
      </c>
      <c r="Q11" s="629">
        <f>+O11*P11</f>
        <v>-1189942.4824341689</v>
      </c>
      <c r="R11" s="566">
        <f>+G11*Q11</f>
        <v>-1189942.4824341689</v>
      </c>
      <c r="S11" s="5">
        <f>+J11+N11+R11</f>
        <v>-36083641.482434168</v>
      </c>
    </row>
    <row r="12" spans="1:19" ht="15">
      <c r="A12" s="59">
        <f>+A11+1</f>
        <v>2</v>
      </c>
      <c r="B12" s="390" t="s">
        <v>370</v>
      </c>
      <c r="C12" s="453">
        <v>0</v>
      </c>
      <c r="D12" s="409">
        <v>31</v>
      </c>
      <c r="E12" s="410">
        <f>E13+D13</f>
        <v>335</v>
      </c>
      <c r="F12" s="410">
        <f>SUM(D12:D23)</f>
        <v>365</v>
      </c>
      <c r="G12" s="43">
        <f>335/365</f>
        <v>0.9178082191780822</v>
      </c>
      <c r="H12" s="564">
        <f t="shared" ref="H12:H24" si="0">+J12+N12+R12</f>
        <v>-501825.42949274194</v>
      </c>
      <c r="I12" s="565">
        <v>-534348</v>
      </c>
      <c r="J12" s="566">
        <f t="shared" ref="J12:J23" si="1">G12*I12</f>
        <v>-490428.98630136985</v>
      </c>
      <c r="K12" s="35">
        <v>0</v>
      </c>
      <c r="L12" s="461">
        <f>+'Appendix A'!$H$27</f>
        <v>0.26818076319772116</v>
      </c>
      <c r="M12" s="629">
        <f t="shared" ref="M12:M23" si="2">+K12*L12</f>
        <v>0</v>
      </c>
      <c r="N12" s="566">
        <f t="shared" ref="N12:N23" si="3">+G12*M12</f>
        <v>0</v>
      </c>
      <c r="O12" s="565">
        <v>-99267</v>
      </c>
      <c r="P12" s="461">
        <f>+'Appendix A'!$H$16</f>
        <v>0.12508709030780155</v>
      </c>
      <c r="Q12" s="629">
        <f t="shared" ref="Q12:Q23" si="4">+O12*P12</f>
        <v>-12417.020193584536</v>
      </c>
      <c r="R12" s="566">
        <f t="shared" ref="R12:R23" si="5">+G12*Q12</f>
        <v>-11396.443191372109</v>
      </c>
      <c r="S12" s="5">
        <f t="shared" ref="S12:S24" si="6">+J12+N12+R12</f>
        <v>-501825.42949274194</v>
      </c>
    </row>
    <row r="13" spans="1:19" ht="15">
      <c r="A13" s="59">
        <f t="shared" ref="A13:A24" si="7">+A12+1</f>
        <v>3</v>
      </c>
      <c r="B13" s="390" t="s">
        <v>371</v>
      </c>
      <c r="C13" s="453">
        <f>+$C$12</f>
        <v>0</v>
      </c>
      <c r="D13" s="411">
        <v>28</v>
      </c>
      <c r="E13" s="410">
        <f t="shared" ref="E13:E20" si="8">E14+D14</f>
        <v>307</v>
      </c>
      <c r="F13" s="410">
        <f>F12</f>
        <v>365</v>
      </c>
      <c r="G13" s="43">
        <f>307/365</f>
        <v>0.84109589041095889</v>
      </c>
      <c r="H13" s="564">
        <f t="shared" si="0"/>
        <v>-459881.81150528888</v>
      </c>
      <c r="I13" s="565">
        <v>-534348</v>
      </c>
      <c r="J13" s="566">
        <f t="shared" si="1"/>
        <v>-449437.90684931504</v>
      </c>
      <c r="K13" s="35">
        <v>0</v>
      </c>
      <c r="L13" s="461">
        <f>+'Appendix A'!$H$27</f>
        <v>0.26818076319772116</v>
      </c>
      <c r="M13" s="629">
        <f t="shared" si="2"/>
        <v>0</v>
      </c>
      <c r="N13" s="566">
        <f t="shared" si="3"/>
        <v>0</v>
      </c>
      <c r="O13" s="565">
        <v>-99267</v>
      </c>
      <c r="P13" s="461">
        <f>+'Appendix A'!$H$16</f>
        <v>0.12508709030780155</v>
      </c>
      <c r="Q13" s="629">
        <f t="shared" si="4"/>
        <v>-12417.020193584536</v>
      </c>
      <c r="R13" s="566">
        <f t="shared" si="5"/>
        <v>-10443.904655973842</v>
      </c>
      <c r="S13" s="5">
        <f t="shared" si="6"/>
        <v>-459881.81150528888</v>
      </c>
    </row>
    <row r="14" spans="1:19" ht="15">
      <c r="A14" s="59">
        <f t="shared" si="7"/>
        <v>4</v>
      </c>
      <c r="B14" s="390" t="s">
        <v>372</v>
      </c>
      <c r="C14" s="453">
        <f t="shared" ref="C14:C23" si="9">+$C$12</f>
        <v>0</v>
      </c>
      <c r="D14" s="409">
        <v>31</v>
      </c>
      <c r="E14" s="410">
        <f t="shared" si="8"/>
        <v>276</v>
      </c>
      <c r="F14" s="410">
        <f t="shared" ref="F14:F23" si="10">F13</f>
        <v>365</v>
      </c>
      <c r="G14" s="43">
        <f>276/365</f>
        <v>0.75616438356164384</v>
      </c>
      <c r="H14" s="564">
        <f t="shared" si="0"/>
        <v>-413444.2344477516</v>
      </c>
      <c r="I14" s="565">
        <v>-534348</v>
      </c>
      <c r="J14" s="566">
        <f t="shared" si="1"/>
        <v>-404054.92602739728</v>
      </c>
      <c r="K14" s="35">
        <v>0</v>
      </c>
      <c r="L14" s="461">
        <f>+'Appendix A'!$H$27</f>
        <v>0.26818076319772116</v>
      </c>
      <c r="M14" s="629">
        <f t="shared" si="2"/>
        <v>0</v>
      </c>
      <c r="N14" s="566">
        <f t="shared" si="3"/>
        <v>0</v>
      </c>
      <c r="O14" s="565">
        <v>-99267</v>
      </c>
      <c r="P14" s="461">
        <f>+'Appendix A'!$H$16</f>
        <v>0.12508709030780155</v>
      </c>
      <c r="Q14" s="629">
        <f t="shared" si="4"/>
        <v>-12417.020193584536</v>
      </c>
      <c r="R14" s="566">
        <f t="shared" si="5"/>
        <v>-9389.3084203543349</v>
      </c>
      <c r="S14" s="5">
        <f t="shared" si="6"/>
        <v>-413444.2344477516</v>
      </c>
    </row>
    <row r="15" spans="1:19" ht="15">
      <c r="A15" s="59">
        <f t="shared" si="7"/>
        <v>5</v>
      </c>
      <c r="B15" s="390" t="s">
        <v>373</v>
      </c>
      <c r="C15" s="453">
        <f t="shared" si="9"/>
        <v>0</v>
      </c>
      <c r="D15" s="409">
        <v>30</v>
      </c>
      <c r="E15" s="410">
        <f t="shared" si="8"/>
        <v>246</v>
      </c>
      <c r="F15" s="410">
        <f t="shared" si="10"/>
        <v>365</v>
      </c>
      <c r="G15" s="43">
        <f>246/365</f>
        <v>0.67397260273972603</v>
      </c>
      <c r="H15" s="564">
        <f t="shared" si="0"/>
        <v>-368504.64374690905</v>
      </c>
      <c r="I15" s="565">
        <v>-534348</v>
      </c>
      <c r="J15" s="566">
        <f t="shared" si="1"/>
        <v>-360135.91232876712</v>
      </c>
      <c r="K15" s="35">
        <v>0</v>
      </c>
      <c r="L15" s="461">
        <f>+'Appendix A'!$H$27</f>
        <v>0.26818076319772116</v>
      </c>
      <c r="M15" s="629">
        <f t="shared" si="2"/>
        <v>0</v>
      </c>
      <c r="N15" s="566">
        <f t="shared" si="3"/>
        <v>0</v>
      </c>
      <c r="O15" s="565">
        <v>-99267</v>
      </c>
      <c r="P15" s="461">
        <f>+'Appendix A'!$H$16</f>
        <v>0.12508709030780155</v>
      </c>
      <c r="Q15" s="629">
        <f t="shared" si="4"/>
        <v>-12417.020193584536</v>
      </c>
      <c r="R15" s="566">
        <f t="shared" si="5"/>
        <v>-8368.731418141906</v>
      </c>
      <c r="S15" s="5">
        <f t="shared" si="6"/>
        <v>-368504.64374690905</v>
      </c>
    </row>
    <row r="16" spans="1:19" ht="15">
      <c r="A16" s="59">
        <f t="shared" si="7"/>
        <v>6</v>
      </c>
      <c r="B16" s="390" t="s">
        <v>374</v>
      </c>
      <c r="C16" s="453">
        <f t="shared" si="9"/>
        <v>0</v>
      </c>
      <c r="D16" s="409">
        <v>31</v>
      </c>
      <c r="E16" s="410">
        <f t="shared" si="8"/>
        <v>215</v>
      </c>
      <c r="F16" s="410">
        <f t="shared" si="10"/>
        <v>365</v>
      </c>
      <c r="G16" s="43">
        <f>215/365</f>
        <v>0.58904109589041098</v>
      </c>
      <c r="H16" s="564">
        <f t="shared" si="0"/>
        <v>-322067.06668937171</v>
      </c>
      <c r="I16" s="565">
        <v>-534348</v>
      </c>
      <c r="J16" s="566">
        <f t="shared" si="1"/>
        <v>-314752.9315068493</v>
      </c>
      <c r="K16" s="35">
        <v>0</v>
      </c>
      <c r="L16" s="461">
        <f>+'Appendix A'!$H$27</f>
        <v>0.26818076319772116</v>
      </c>
      <c r="M16" s="629">
        <f t="shared" si="2"/>
        <v>0</v>
      </c>
      <c r="N16" s="566">
        <f t="shared" si="3"/>
        <v>0</v>
      </c>
      <c r="O16" s="565">
        <v>-99267</v>
      </c>
      <c r="P16" s="461">
        <f>+'Appendix A'!$H$16</f>
        <v>0.12508709030780155</v>
      </c>
      <c r="Q16" s="629">
        <f t="shared" si="4"/>
        <v>-12417.020193584536</v>
      </c>
      <c r="R16" s="566">
        <f t="shared" si="5"/>
        <v>-7314.1351825223983</v>
      </c>
      <c r="S16" s="5">
        <f t="shared" si="6"/>
        <v>-322067.06668937171</v>
      </c>
    </row>
    <row r="17" spans="1:19" ht="15">
      <c r="A17" s="59">
        <f t="shared" si="7"/>
        <v>7</v>
      </c>
      <c r="B17" s="390" t="s">
        <v>375</v>
      </c>
      <c r="C17" s="453">
        <f t="shared" si="9"/>
        <v>0</v>
      </c>
      <c r="D17" s="409">
        <v>30</v>
      </c>
      <c r="E17" s="410">
        <f t="shared" si="8"/>
        <v>185</v>
      </c>
      <c r="F17" s="410">
        <f t="shared" si="10"/>
        <v>365</v>
      </c>
      <c r="G17" s="43">
        <f>185/365</f>
        <v>0.50684931506849318</v>
      </c>
      <c r="H17" s="564">
        <f t="shared" si="0"/>
        <v>-277127.47598852916</v>
      </c>
      <c r="I17" s="565">
        <v>-534348</v>
      </c>
      <c r="J17" s="566">
        <f t="shared" si="1"/>
        <v>-270833.91780821921</v>
      </c>
      <c r="K17" s="35">
        <v>0</v>
      </c>
      <c r="L17" s="461">
        <f>+'Appendix A'!$H$27</f>
        <v>0.26818076319772116</v>
      </c>
      <c r="M17" s="629">
        <f t="shared" si="2"/>
        <v>0</v>
      </c>
      <c r="N17" s="566">
        <f t="shared" si="3"/>
        <v>0</v>
      </c>
      <c r="O17" s="565">
        <v>-99267</v>
      </c>
      <c r="P17" s="461">
        <f>+'Appendix A'!$H$16</f>
        <v>0.12508709030780155</v>
      </c>
      <c r="Q17" s="629">
        <f t="shared" si="4"/>
        <v>-12417.020193584536</v>
      </c>
      <c r="R17" s="566">
        <f t="shared" si="5"/>
        <v>-6293.5581803099703</v>
      </c>
      <c r="S17" s="5">
        <f t="shared" si="6"/>
        <v>-277127.47598852916</v>
      </c>
    </row>
    <row r="18" spans="1:19" ht="15">
      <c r="A18" s="59">
        <f t="shared" si="7"/>
        <v>8</v>
      </c>
      <c r="B18" s="390" t="s">
        <v>376</v>
      </c>
      <c r="C18" s="453">
        <f t="shared" si="9"/>
        <v>0</v>
      </c>
      <c r="D18" s="409">
        <v>31</v>
      </c>
      <c r="E18" s="410">
        <f t="shared" si="8"/>
        <v>154</v>
      </c>
      <c r="F18" s="410">
        <f t="shared" si="10"/>
        <v>365</v>
      </c>
      <c r="G18" s="43">
        <f>154/365</f>
        <v>0.42191780821917807</v>
      </c>
      <c r="H18" s="564">
        <f t="shared" si="0"/>
        <v>-230689.89893099183</v>
      </c>
      <c r="I18" s="565">
        <v>-534348</v>
      </c>
      <c r="J18" s="566">
        <f t="shared" si="1"/>
        <v>-225450.93698630136</v>
      </c>
      <c r="K18" s="35">
        <v>0</v>
      </c>
      <c r="L18" s="461">
        <f>+'Appendix A'!$H$27</f>
        <v>0.26818076319772116</v>
      </c>
      <c r="M18" s="629">
        <f t="shared" si="2"/>
        <v>0</v>
      </c>
      <c r="N18" s="566">
        <f t="shared" si="3"/>
        <v>0</v>
      </c>
      <c r="O18" s="565">
        <v>-99267</v>
      </c>
      <c r="P18" s="461">
        <f>+'Appendix A'!$H$16</f>
        <v>0.12508709030780155</v>
      </c>
      <c r="Q18" s="629">
        <f t="shared" si="4"/>
        <v>-12417.020193584536</v>
      </c>
      <c r="R18" s="566">
        <f t="shared" si="5"/>
        <v>-5238.9619446904617</v>
      </c>
      <c r="S18" s="5">
        <f t="shared" si="6"/>
        <v>-230689.89893099183</v>
      </c>
    </row>
    <row r="19" spans="1:19" ht="15">
      <c r="A19" s="59">
        <f t="shared" si="7"/>
        <v>9</v>
      </c>
      <c r="B19" s="390" t="s">
        <v>377</v>
      </c>
      <c r="C19" s="453">
        <f t="shared" si="9"/>
        <v>0</v>
      </c>
      <c r="D19" s="409">
        <v>31</v>
      </c>
      <c r="E19" s="410">
        <f t="shared" si="8"/>
        <v>123</v>
      </c>
      <c r="F19" s="410">
        <f t="shared" si="10"/>
        <v>365</v>
      </c>
      <c r="G19" s="43">
        <f>123/365</f>
        <v>0.33698630136986302</v>
      </c>
      <c r="H19" s="564">
        <f t="shared" si="0"/>
        <v>-184252.32187345452</v>
      </c>
      <c r="I19" s="565">
        <v>-534348</v>
      </c>
      <c r="J19" s="566">
        <f t="shared" si="1"/>
        <v>-180067.95616438356</v>
      </c>
      <c r="K19" s="35">
        <v>0</v>
      </c>
      <c r="L19" s="461">
        <f>+'Appendix A'!$H$27</f>
        <v>0.26818076319772116</v>
      </c>
      <c r="M19" s="629">
        <f t="shared" si="2"/>
        <v>0</v>
      </c>
      <c r="N19" s="566">
        <f t="shared" si="3"/>
        <v>0</v>
      </c>
      <c r="O19" s="565">
        <v>-99267</v>
      </c>
      <c r="P19" s="461">
        <f>+'Appendix A'!$H$16</f>
        <v>0.12508709030780155</v>
      </c>
      <c r="Q19" s="629">
        <f t="shared" si="4"/>
        <v>-12417.020193584536</v>
      </c>
      <c r="R19" s="566">
        <f t="shared" si="5"/>
        <v>-4184.365709070953</v>
      </c>
      <c r="S19" s="5">
        <f t="shared" si="6"/>
        <v>-184252.32187345452</v>
      </c>
    </row>
    <row r="20" spans="1:19" ht="15">
      <c r="A20" s="59">
        <f t="shared" si="7"/>
        <v>10</v>
      </c>
      <c r="B20" s="390" t="s">
        <v>378</v>
      </c>
      <c r="C20" s="453">
        <f t="shared" si="9"/>
        <v>0</v>
      </c>
      <c r="D20" s="409">
        <v>30</v>
      </c>
      <c r="E20" s="410">
        <f t="shared" si="8"/>
        <v>93</v>
      </c>
      <c r="F20" s="410">
        <f t="shared" si="10"/>
        <v>365</v>
      </c>
      <c r="G20" s="43">
        <f>93/365</f>
        <v>0.25479452054794521</v>
      </c>
      <c r="H20" s="564">
        <f t="shared" si="0"/>
        <v>-139312.73117261197</v>
      </c>
      <c r="I20" s="565">
        <v>-534348</v>
      </c>
      <c r="J20" s="566">
        <f t="shared" si="1"/>
        <v>-136148.94246575344</v>
      </c>
      <c r="K20" s="35">
        <v>0</v>
      </c>
      <c r="L20" s="461">
        <f>+'Appendix A'!$H$27</f>
        <v>0.26818076319772116</v>
      </c>
      <c r="M20" s="629">
        <f t="shared" si="2"/>
        <v>0</v>
      </c>
      <c r="N20" s="566">
        <f t="shared" si="3"/>
        <v>0</v>
      </c>
      <c r="O20" s="565">
        <v>-99267</v>
      </c>
      <c r="P20" s="461">
        <f>+'Appendix A'!$H$16</f>
        <v>0.12508709030780155</v>
      </c>
      <c r="Q20" s="629">
        <f t="shared" si="4"/>
        <v>-12417.020193584536</v>
      </c>
      <c r="R20" s="566">
        <f t="shared" si="5"/>
        <v>-3163.7887068585255</v>
      </c>
      <c r="S20" s="5">
        <f t="shared" si="6"/>
        <v>-139312.73117261197</v>
      </c>
    </row>
    <row r="21" spans="1:19" ht="15">
      <c r="A21" s="59">
        <f t="shared" si="7"/>
        <v>11</v>
      </c>
      <c r="B21" s="390" t="s">
        <v>379</v>
      </c>
      <c r="C21" s="453">
        <f t="shared" si="9"/>
        <v>0</v>
      </c>
      <c r="D21" s="409">
        <v>31</v>
      </c>
      <c r="E21" s="410">
        <f>E22+D22</f>
        <v>62</v>
      </c>
      <c r="F21" s="410">
        <f t="shared" si="10"/>
        <v>365</v>
      </c>
      <c r="G21" s="43">
        <f>62/365</f>
        <v>0.16986301369863013</v>
      </c>
      <c r="H21" s="564">
        <f t="shared" si="0"/>
        <v>-92875.154115074634</v>
      </c>
      <c r="I21" s="565">
        <v>-534348</v>
      </c>
      <c r="J21" s="566">
        <f t="shared" si="1"/>
        <v>-90765.961643835617</v>
      </c>
      <c r="K21" s="35">
        <v>0</v>
      </c>
      <c r="L21" s="461">
        <f>+'Appendix A'!$H$27</f>
        <v>0.26818076319772116</v>
      </c>
      <c r="M21" s="629">
        <f t="shared" si="2"/>
        <v>0</v>
      </c>
      <c r="N21" s="566">
        <f t="shared" si="3"/>
        <v>0</v>
      </c>
      <c r="O21" s="565">
        <v>-99267</v>
      </c>
      <c r="P21" s="461">
        <f>+'Appendix A'!$H$16</f>
        <v>0.12508709030780155</v>
      </c>
      <c r="Q21" s="629">
        <f t="shared" si="4"/>
        <v>-12417.020193584536</v>
      </c>
      <c r="R21" s="566">
        <f t="shared" si="5"/>
        <v>-2109.1924712390169</v>
      </c>
      <c r="S21" s="5">
        <f t="shared" si="6"/>
        <v>-92875.154115074634</v>
      </c>
    </row>
    <row r="22" spans="1:19" ht="15">
      <c r="A22" s="59">
        <f t="shared" si="7"/>
        <v>12</v>
      </c>
      <c r="B22" s="390" t="s">
        <v>380</v>
      </c>
      <c r="C22" s="453">
        <f t="shared" si="9"/>
        <v>0</v>
      </c>
      <c r="D22" s="409">
        <v>30</v>
      </c>
      <c r="E22" s="410">
        <f>E23+D23</f>
        <v>32</v>
      </c>
      <c r="F22" s="410">
        <f t="shared" si="10"/>
        <v>365</v>
      </c>
      <c r="G22" s="43">
        <f>32/365</f>
        <v>8.7671232876712329E-2</v>
      </c>
      <c r="H22" s="564">
        <f t="shared" si="0"/>
        <v>-47935.56341423207</v>
      </c>
      <c r="I22" s="565">
        <v>-534348</v>
      </c>
      <c r="J22" s="566">
        <f t="shared" si="1"/>
        <v>-46846.94794520548</v>
      </c>
      <c r="K22" s="35">
        <v>0</v>
      </c>
      <c r="L22" s="461">
        <f>+'Appendix A'!$H$27</f>
        <v>0.26818076319772116</v>
      </c>
      <c r="M22" s="629">
        <f t="shared" si="2"/>
        <v>0</v>
      </c>
      <c r="N22" s="566">
        <f t="shared" si="3"/>
        <v>0</v>
      </c>
      <c r="O22" s="565">
        <v>-99267</v>
      </c>
      <c r="P22" s="461">
        <f>+'Appendix A'!$H$16</f>
        <v>0.12508709030780155</v>
      </c>
      <c r="Q22" s="629">
        <f t="shared" si="4"/>
        <v>-12417.020193584536</v>
      </c>
      <c r="R22" s="566">
        <f t="shared" si="5"/>
        <v>-1088.6154690265894</v>
      </c>
      <c r="S22" s="5">
        <f t="shared" si="6"/>
        <v>-47935.56341423207</v>
      </c>
    </row>
    <row r="23" spans="1:19" ht="17.25">
      <c r="A23" s="59">
        <f t="shared" si="7"/>
        <v>13</v>
      </c>
      <c r="B23" s="390" t="s">
        <v>381</v>
      </c>
      <c r="C23" s="453">
        <f t="shared" si="9"/>
        <v>0</v>
      </c>
      <c r="D23" s="409">
        <v>31</v>
      </c>
      <c r="E23" s="410">
        <v>1</v>
      </c>
      <c r="F23" s="410">
        <f t="shared" si="10"/>
        <v>365</v>
      </c>
      <c r="G23" s="43">
        <f>1/365</f>
        <v>2.7397260273972603E-3</v>
      </c>
      <c r="H23" s="692">
        <f t="shared" si="0"/>
        <v>-1497.9863566947522</v>
      </c>
      <c r="I23" s="565">
        <v>-534348</v>
      </c>
      <c r="J23" s="693">
        <f t="shared" si="1"/>
        <v>-1463.9671232876713</v>
      </c>
      <c r="K23" s="780">
        <v>0</v>
      </c>
      <c r="L23" s="461">
        <f>+'Appendix A'!$H$27</f>
        <v>0.26818076319772116</v>
      </c>
      <c r="M23" s="629">
        <f t="shared" si="2"/>
        <v>0</v>
      </c>
      <c r="N23" s="693">
        <f t="shared" si="3"/>
        <v>0</v>
      </c>
      <c r="O23" s="565">
        <v>-99267</v>
      </c>
      <c r="P23" s="461">
        <f>+'Appendix A'!$H$16</f>
        <v>0.12508709030780155</v>
      </c>
      <c r="Q23" s="629">
        <f t="shared" si="4"/>
        <v>-12417.020193584536</v>
      </c>
      <c r="R23" s="693">
        <f t="shared" si="5"/>
        <v>-34.019233407080918</v>
      </c>
      <c r="S23" s="859">
        <f t="shared" si="6"/>
        <v>-1497.9863566947522</v>
      </c>
    </row>
    <row r="24" spans="1:19" ht="15">
      <c r="A24" s="59">
        <f t="shared" si="7"/>
        <v>14</v>
      </c>
      <c r="B24" s="401" t="s">
        <v>382</v>
      </c>
      <c r="C24" s="390"/>
      <c r="D24" s="392">
        <f>+SUM(D12:D23)</f>
        <v>365</v>
      </c>
      <c r="E24" s="390"/>
      <c r="F24" s="390"/>
      <c r="G24" s="390"/>
      <c r="H24" s="564">
        <f t="shared" si="0"/>
        <v>-39123055.800167821</v>
      </c>
      <c r="I24" s="566">
        <f>SUM(I11:I23)</f>
        <v>-41305875</v>
      </c>
      <c r="J24" s="566">
        <f t="shared" ref="J24:O24" si="11">SUM(J11:J23)</f>
        <v>-37864088.293150686</v>
      </c>
      <c r="K24" s="566">
        <f t="shared" si="11"/>
        <v>0</v>
      </c>
      <c r="L24" s="566"/>
      <c r="M24" s="566"/>
      <c r="N24" s="566">
        <f t="shared" ref="N24" si="12">SUM(N11:N23)</f>
        <v>0</v>
      </c>
      <c r="O24" s="566">
        <f t="shared" si="11"/>
        <v>-10704116</v>
      </c>
      <c r="P24" s="566"/>
      <c r="Q24" s="566"/>
      <c r="R24" s="566">
        <f t="shared" ref="R24" si="13">SUM(R11:R23)</f>
        <v>-1258967.5070171361</v>
      </c>
      <c r="S24" s="5">
        <f t="shared" si="6"/>
        <v>-39123055.800167821</v>
      </c>
    </row>
    <row r="25" spans="1:19" ht="15">
      <c r="A25" s="59"/>
      <c r="B25" s="401"/>
      <c r="C25" s="390"/>
      <c r="D25" s="392"/>
      <c r="E25" s="390"/>
      <c r="F25" s="390"/>
      <c r="G25" s="390"/>
      <c r="H25" s="392"/>
      <c r="I25" s="392"/>
      <c r="J25" s="392"/>
      <c r="K25" s="392"/>
      <c r="L25" s="392"/>
      <c r="M25" s="392"/>
      <c r="N25" s="392"/>
      <c r="O25" s="392"/>
      <c r="P25" s="392"/>
      <c r="Q25" s="392"/>
      <c r="R25" s="392"/>
    </row>
    <row r="26" spans="1:19" ht="15">
      <c r="A26" s="59"/>
      <c r="B26" s="401"/>
      <c r="C26" s="390"/>
      <c r="D26" s="392"/>
      <c r="E26" s="390"/>
      <c r="F26" s="390"/>
      <c r="G26" s="390"/>
      <c r="H26" s="392"/>
      <c r="I26" s="392"/>
      <c r="J26" s="392"/>
      <c r="K26" s="392"/>
      <c r="L26" s="392"/>
      <c r="M26" s="392"/>
      <c r="N26" s="392"/>
      <c r="O26" s="392"/>
      <c r="P26" s="392"/>
      <c r="Q26" s="392"/>
      <c r="R26" s="392"/>
    </row>
    <row r="27" spans="1:19" ht="15">
      <c r="A27" s="45"/>
      <c r="B27" s="45" t="s">
        <v>383</v>
      </c>
      <c r="C27" s="45"/>
      <c r="D27" s="45"/>
      <c r="E27" s="45"/>
      <c r="F27" s="45"/>
      <c r="G27" s="45"/>
      <c r="H27" s="45"/>
      <c r="I27" s="45"/>
      <c r="J27" s="45"/>
      <c r="K27" s="45"/>
      <c r="L27" s="45"/>
      <c r="M27" s="45"/>
      <c r="N27" s="45"/>
      <c r="O27" s="45"/>
      <c r="P27" s="45"/>
      <c r="Q27" s="45"/>
      <c r="R27" s="45"/>
    </row>
    <row r="28" spans="1:19" ht="15">
      <c r="A28" s="45"/>
      <c r="B28" s="45"/>
      <c r="C28" s="45"/>
      <c r="D28" s="45"/>
      <c r="E28" s="45"/>
      <c r="F28" s="45"/>
      <c r="G28" s="45"/>
      <c r="H28" s="45"/>
      <c r="I28" s="45"/>
      <c r="J28" s="45"/>
      <c r="K28" s="45"/>
      <c r="L28" s="45"/>
      <c r="M28" s="45"/>
      <c r="N28" s="45"/>
      <c r="O28" s="45"/>
      <c r="P28" s="45"/>
      <c r="Q28" s="45"/>
      <c r="R28" s="45"/>
    </row>
    <row r="29" spans="1:19" ht="15">
      <c r="A29" s="45"/>
      <c r="B29" s="45"/>
      <c r="C29" s="45"/>
      <c r="D29" s="45"/>
      <c r="E29" s="45"/>
      <c r="F29" s="45"/>
      <c r="G29" s="45"/>
      <c r="H29" s="45"/>
      <c r="I29" s="45"/>
      <c r="J29" s="45"/>
      <c r="K29" s="45"/>
      <c r="L29" s="45"/>
      <c r="M29" s="45"/>
      <c r="N29" s="45"/>
      <c r="O29" s="45"/>
      <c r="P29" s="45"/>
      <c r="Q29" s="45"/>
      <c r="R29" s="45"/>
    </row>
    <row r="30" spans="1:19" ht="15">
      <c r="A30" s="45"/>
      <c r="B30" s="45"/>
      <c r="C30" s="45"/>
      <c r="D30" s="45"/>
      <c r="E30" s="45"/>
      <c r="F30" s="45"/>
      <c r="G30" s="45"/>
      <c r="H30" s="45"/>
      <c r="I30" s="45"/>
      <c r="J30" s="45"/>
      <c r="K30" s="45"/>
      <c r="L30" s="45"/>
      <c r="M30" s="45"/>
      <c r="N30" s="45"/>
      <c r="O30" s="45"/>
      <c r="P30" s="45"/>
      <c r="Q30" s="45"/>
      <c r="R30" s="45"/>
    </row>
    <row r="31" spans="1:19" ht="15.75">
      <c r="A31" s="45"/>
      <c r="B31" s="761"/>
      <c r="C31" s="45"/>
      <c r="D31" s="45"/>
      <c r="E31" s="45"/>
      <c r="F31" s="45"/>
      <c r="G31" s="45"/>
      <c r="H31" s="45"/>
      <c r="I31" s="45"/>
      <c r="J31" s="45"/>
      <c r="K31" s="45"/>
      <c r="L31" s="45"/>
      <c r="M31" s="45"/>
      <c r="N31" s="45"/>
      <c r="O31" s="45"/>
      <c r="P31" s="45"/>
      <c r="Q31" s="45"/>
      <c r="R31" s="45"/>
    </row>
    <row r="32" spans="1:19" ht="15">
      <c r="A32" s="45"/>
      <c r="B32" s="45"/>
      <c r="C32" s="45"/>
      <c r="D32" s="45"/>
      <c r="E32" s="45"/>
      <c r="F32" s="45"/>
      <c r="G32" s="45"/>
      <c r="H32" s="45"/>
      <c r="I32" s="45"/>
      <c r="J32" s="45"/>
      <c r="K32" s="45"/>
      <c r="L32" s="45"/>
      <c r="M32" s="45"/>
      <c r="N32" s="45"/>
      <c r="O32" s="45"/>
      <c r="P32" s="45"/>
      <c r="Q32" s="45"/>
      <c r="R32" s="45"/>
    </row>
    <row r="33" spans="1:18" ht="15">
      <c r="A33" s="45"/>
      <c r="B33" s="45"/>
      <c r="C33" s="45"/>
      <c r="D33" s="45"/>
      <c r="E33" s="45"/>
      <c r="F33" s="45"/>
      <c r="G33" s="45"/>
      <c r="H33" s="45"/>
      <c r="I33" s="45"/>
      <c r="J33" s="45"/>
      <c r="K33" s="45"/>
      <c r="L33" s="45"/>
      <c r="M33" s="45"/>
      <c r="N33" s="45"/>
      <c r="O33" s="45"/>
      <c r="P33" s="45"/>
      <c r="Q33" s="45"/>
      <c r="R33" s="45"/>
    </row>
    <row r="34" spans="1:18" ht="15">
      <c r="A34" s="45"/>
      <c r="B34" s="45"/>
      <c r="C34" s="45"/>
      <c r="D34" s="45"/>
      <c r="E34" s="45"/>
      <c r="F34" s="45"/>
      <c r="G34" s="45"/>
      <c r="H34" s="45"/>
      <c r="I34" s="45"/>
      <c r="J34" s="45"/>
      <c r="K34" s="45"/>
      <c r="L34" s="45"/>
      <c r="M34" s="45"/>
      <c r="N34" s="45"/>
      <c r="O34" s="45"/>
      <c r="P34" s="45"/>
      <c r="Q34" s="45"/>
      <c r="R34" s="45"/>
    </row>
    <row r="35" spans="1:18" ht="15">
      <c r="A35" s="45"/>
      <c r="B35" s="45"/>
      <c r="C35" s="45"/>
      <c r="D35" s="45"/>
      <c r="E35" s="45"/>
      <c r="F35" s="45"/>
      <c r="G35" s="45"/>
      <c r="H35" s="45"/>
      <c r="I35" s="45"/>
      <c r="J35" s="45"/>
      <c r="K35" s="45"/>
      <c r="L35" s="45"/>
      <c r="M35" s="45"/>
      <c r="N35" s="45"/>
      <c r="O35" s="45"/>
      <c r="P35" s="45"/>
      <c r="Q35" s="45"/>
      <c r="R35" s="45"/>
    </row>
    <row r="36" spans="1:18" ht="15">
      <c r="A36" s="45"/>
      <c r="B36" s="45"/>
      <c r="C36" s="45"/>
      <c r="D36" s="45"/>
      <c r="E36" s="45"/>
      <c r="F36" s="45"/>
      <c r="G36" s="45"/>
      <c r="H36" s="45"/>
      <c r="I36" s="45"/>
      <c r="J36" s="45"/>
      <c r="K36" s="45"/>
      <c r="L36" s="45"/>
      <c r="M36" s="45"/>
      <c r="N36" s="45"/>
      <c r="O36" s="45"/>
      <c r="P36" s="45"/>
      <c r="Q36" s="45"/>
      <c r="R36" s="45"/>
    </row>
    <row r="37" spans="1:18" ht="15">
      <c r="A37" s="45"/>
      <c r="B37" s="45"/>
      <c r="C37" s="45"/>
      <c r="D37" s="45"/>
      <c r="E37" s="45"/>
      <c r="F37" s="45"/>
      <c r="G37" s="45"/>
      <c r="H37" s="45"/>
      <c r="I37" s="45"/>
      <c r="J37" s="45"/>
      <c r="K37" s="45"/>
      <c r="L37" s="45"/>
      <c r="M37" s="45"/>
      <c r="N37" s="45"/>
      <c r="O37" s="45"/>
      <c r="P37" s="45"/>
      <c r="Q37" s="45"/>
      <c r="R37" s="45"/>
    </row>
    <row r="38" spans="1:18" ht="15">
      <c r="A38" s="45"/>
      <c r="C38" s="45"/>
      <c r="D38" s="45"/>
      <c r="E38" s="45"/>
      <c r="F38" s="45"/>
      <c r="G38" s="45"/>
      <c r="H38" s="45"/>
      <c r="I38" s="45"/>
      <c r="J38" s="45"/>
      <c r="K38" s="45"/>
      <c r="L38" s="45"/>
      <c r="M38" s="45"/>
      <c r="N38" s="45"/>
      <c r="O38" s="45"/>
      <c r="P38" s="45"/>
      <c r="Q38" s="45"/>
      <c r="R38" s="45"/>
    </row>
  </sheetData>
  <phoneticPr fontId="33" type="noConversion"/>
  <pageMargins left="0.7" right="0.7" top="0.75" bottom="0.75" header="0.3" footer="0.3"/>
  <pageSetup scale="35" orientation="landscape" verticalDpi="0"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5"/>
  <sheetViews>
    <sheetView showGridLines="0" topLeftCell="B1" zoomScale="70" zoomScaleNormal="70" workbookViewId="0">
      <selection activeCell="E36" sqref="E36"/>
    </sheetView>
  </sheetViews>
  <sheetFormatPr defaultColWidth="18.7109375" defaultRowHeight="15"/>
  <cols>
    <col min="1" max="1" width="5.85546875" style="45" customWidth="1"/>
    <col min="2" max="2" width="65.7109375" style="154" customWidth="1"/>
    <col min="3" max="3" width="38.7109375" style="45" bestFit="1" customWidth="1"/>
    <col min="4" max="4" width="22.7109375" style="45" customWidth="1"/>
    <col min="5" max="5" width="23.7109375" style="45" customWidth="1"/>
    <col min="6" max="6" width="24.7109375" style="45" customWidth="1"/>
    <col min="7" max="7" width="24" style="45" bestFit="1" customWidth="1"/>
    <col min="8" max="8" width="24" style="45" customWidth="1"/>
    <col min="9" max="9" width="135.28515625" style="45" customWidth="1"/>
    <col min="10" max="10" width="19.28515625" style="45" customWidth="1"/>
    <col min="11" max="16384" width="18.7109375" style="45"/>
  </cols>
  <sheetData>
    <row r="1" spans="1:10" ht="18">
      <c r="B1" s="894" t="str">
        <f>+'Appendix A'!A3</f>
        <v>Dayton Power and Light</v>
      </c>
      <c r="C1" s="895"/>
      <c r="D1" s="895"/>
      <c r="E1" s="895"/>
      <c r="F1" s="895"/>
      <c r="G1" s="895"/>
      <c r="H1" s="895"/>
      <c r="I1" s="895"/>
      <c r="J1" s="151"/>
    </row>
    <row r="2" spans="1:10" ht="18">
      <c r="B2" s="894" t="str">
        <f>+'1A - ADIT'!B2:I2</f>
        <v xml:space="preserve">ATTACHMENT H-15A </v>
      </c>
      <c r="C2" s="894"/>
      <c r="D2" s="894"/>
      <c r="E2" s="894"/>
      <c r="F2" s="894"/>
      <c r="G2" s="894"/>
      <c r="H2" s="894"/>
      <c r="I2" s="894"/>
      <c r="J2" s="151"/>
    </row>
    <row r="3" spans="1:10" s="151" customFormat="1" ht="18">
      <c r="B3" s="894" t="s">
        <v>384</v>
      </c>
      <c r="C3" s="894"/>
      <c r="D3" s="894"/>
      <c r="E3" s="894"/>
      <c r="F3" s="894"/>
      <c r="G3" s="894"/>
      <c r="H3" s="894"/>
      <c r="I3" s="894"/>
    </row>
    <row r="4" spans="1:10">
      <c r="B4" s="153"/>
    </row>
    <row r="5" spans="1:10" ht="18">
      <c r="B5" s="18"/>
      <c r="C5" s="1"/>
      <c r="D5" s="153" t="s">
        <v>254</v>
      </c>
      <c r="E5" s="153"/>
      <c r="G5" s="153"/>
      <c r="H5" s="153"/>
    </row>
    <row r="6" spans="1:10" ht="18">
      <c r="D6" s="153" t="s">
        <v>56</v>
      </c>
      <c r="E6" s="153" t="s">
        <v>255</v>
      </c>
      <c r="F6" s="153" t="s">
        <v>256</v>
      </c>
      <c r="G6" s="153"/>
      <c r="H6" s="153" t="s">
        <v>67</v>
      </c>
      <c r="I6" s="627"/>
    </row>
    <row r="7" spans="1:10" ht="18">
      <c r="D7" s="153" t="s">
        <v>257</v>
      </c>
      <c r="E7" s="153" t="s">
        <v>257</v>
      </c>
      <c r="F7" s="153" t="s">
        <v>257</v>
      </c>
      <c r="G7" s="153"/>
      <c r="H7" s="153" t="s">
        <v>258</v>
      </c>
      <c r="I7" s="628"/>
    </row>
    <row r="8" spans="1:10" ht="25.5">
      <c r="B8" s="346"/>
      <c r="C8" s="343"/>
      <c r="D8" s="343"/>
      <c r="E8" s="343"/>
      <c r="F8" s="343"/>
      <c r="H8" s="343"/>
      <c r="I8" s="628"/>
      <c r="J8" s="343"/>
    </row>
    <row r="9" spans="1:10">
      <c r="A9" s="59">
        <v>1</v>
      </c>
      <c r="C9" s="155" t="s">
        <v>270</v>
      </c>
      <c r="D9" s="156">
        <f>+E40</f>
        <v>0</v>
      </c>
      <c r="E9" s="156">
        <f>+F40</f>
        <v>431994</v>
      </c>
      <c r="F9" s="156">
        <f>+G40</f>
        <v>2232305</v>
      </c>
      <c r="G9" s="156"/>
      <c r="H9" s="156"/>
      <c r="I9" s="91" t="str">
        <f>"(Line "&amp;A40&amp;")"</f>
        <v>(Line 22)</v>
      </c>
    </row>
    <row r="10" spans="1:10">
      <c r="A10" s="59">
        <f>+A9+1</f>
        <v>2</v>
      </c>
      <c r="C10" s="155" t="s">
        <v>307</v>
      </c>
      <c r="D10" s="156">
        <f>+E61</f>
        <v>-3795911</v>
      </c>
      <c r="E10" s="156">
        <f>+F61</f>
        <v>0</v>
      </c>
      <c r="F10" s="156">
        <f>+G61</f>
        <v>-2920796</v>
      </c>
      <c r="G10" s="156"/>
      <c r="H10" s="156"/>
      <c r="I10" s="91" t="str">
        <f>"(Line "&amp;A61&amp;")"</f>
        <v>(Line 25)</v>
      </c>
    </row>
    <row r="11" spans="1:10">
      <c r="A11" s="59">
        <f>+A10+1</f>
        <v>3</v>
      </c>
      <c r="C11" s="463" t="s">
        <v>315</v>
      </c>
      <c r="D11" s="452">
        <f>+E87</f>
        <v>0</v>
      </c>
      <c r="E11" s="452">
        <f>+F87</f>
        <v>0</v>
      </c>
      <c r="F11" s="452">
        <f>+G87</f>
        <v>-5469776</v>
      </c>
      <c r="G11" s="452"/>
      <c r="H11" s="156"/>
      <c r="I11" s="91" t="str">
        <f>"(Line "&amp;A87&amp;")"</f>
        <v>(Line 36)</v>
      </c>
    </row>
    <row r="12" spans="1:10">
      <c r="A12" s="59">
        <f>+A11+1</f>
        <v>4</v>
      </c>
      <c r="C12" s="155" t="s">
        <v>90</v>
      </c>
      <c r="D12" s="156">
        <f>+SUM(D9:D11)</f>
        <v>-3795911</v>
      </c>
      <c r="E12" s="156">
        <f t="shared" ref="E12:F12" si="0">+SUM(E9:E11)</f>
        <v>431994</v>
      </c>
      <c r="F12" s="156">
        <f t="shared" si="0"/>
        <v>-6158267</v>
      </c>
      <c r="G12" s="156"/>
      <c r="H12" s="156"/>
      <c r="I12" s="91" t="str">
        <f>"(Line "&amp;A9&amp;" + Line "&amp;A10&amp;" + "&amp;A11&amp;")"</f>
        <v>(Line 1 + Line 2 + 3)</v>
      </c>
    </row>
    <row r="13" spans="1:10">
      <c r="A13" s="59">
        <f t="shared" ref="A13:A14" si="1">+A12+1</f>
        <v>5</v>
      </c>
      <c r="C13" s="155" t="s">
        <v>12</v>
      </c>
      <c r="F13" s="461">
        <f>'Appendix A'!H16</f>
        <v>0.12508709030780155</v>
      </c>
      <c r="I13" s="19" t="str">
        <f>"(Appendix A, Line "&amp;'Appendix A'!A16&amp;")"</f>
        <v>(Appendix A, Line 5)</v>
      </c>
    </row>
    <row r="14" spans="1:10">
      <c r="A14" s="59">
        <f t="shared" si="1"/>
        <v>6</v>
      </c>
      <c r="C14" s="155" t="s">
        <v>20</v>
      </c>
      <c r="E14" s="461">
        <f>'Appendix A'!H27</f>
        <v>0.26818076319772116</v>
      </c>
      <c r="I14" s="19" t="str">
        <f>"(Appendix A, Line "&amp;'Appendix A'!A27&amp;")"</f>
        <v>(Appendix A, Line 12)</v>
      </c>
    </row>
    <row r="15" spans="1:10" ht="15.75">
      <c r="A15" s="59">
        <f>+A14+1</f>
        <v>7</v>
      </c>
      <c r="C15" s="155" t="s">
        <v>262</v>
      </c>
      <c r="D15" s="156">
        <f>+D12</f>
        <v>-3795911</v>
      </c>
      <c r="E15" s="156">
        <f>+E14*E12</f>
        <v>115852.48061683636</v>
      </c>
      <c r="F15" s="156">
        <f>+F13*F12</f>
        <v>-770319.7003685541</v>
      </c>
      <c r="G15" s="156"/>
      <c r="H15" s="157">
        <f>SUM(D15:G15)</f>
        <v>-4450378.2197517175</v>
      </c>
      <c r="I15" s="91" t="str">
        <f>"(Line "&amp;A12&amp;" * Line "&amp;A13&amp;" or Line "&amp;A14&amp;")"</f>
        <v>(Line 4 * Line 5 or Line 6)</v>
      </c>
    </row>
    <row r="16" spans="1:10" ht="29.25" customHeight="1">
      <c r="A16" s="59"/>
      <c r="C16" s="155"/>
      <c r="D16" s="156"/>
      <c r="E16" s="156"/>
      <c r="F16" s="156"/>
      <c r="G16" s="157"/>
      <c r="H16" s="157"/>
      <c r="I16" s="91"/>
    </row>
    <row r="17" spans="1:28" ht="15.75">
      <c r="A17" s="59"/>
      <c r="B17" s="154" t="s">
        <v>385</v>
      </c>
      <c r="C17" s="155"/>
      <c r="D17" s="156"/>
      <c r="E17" s="156"/>
      <c r="F17" s="156"/>
      <c r="G17" s="157"/>
      <c r="H17" s="157"/>
      <c r="I17" s="91"/>
      <c r="J17" s="342"/>
    </row>
    <row r="18" spans="1:28">
      <c r="A18" s="59"/>
      <c r="B18" s="45"/>
      <c r="I18" s="91"/>
    </row>
    <row r="19" spans="1:28">
      <c r="A19" s="59"/>
      <c r="B19" s="154" t="s">
        <v>268</v>
      </c>
      <c r="I19" s="91"/>
    </row>
    <row r="20" spans="1:28">
      <c r="A20" s="59"/>
      <c r="B20" s="154" t="s">
        <v>269</v>
      </c>
    </row>
    <row r="21" spans="1:28">
      <c r="A21" s="59"/>
      <c r="G21" s="155"/>
      <c r="H21" s="155"/>
    </row>
    <row r="22" spans="1:28" ht="15.75">
      <c r="A22" s="59"/>
      <c r="B22" s="159" t="s">
        <v>207</v>
      </c>
      <c r="C22" s="159" t="s">
        <v>209</v>
      </c>
      <c r="D22" s="159" t="s">
        <v>211</v>
      </c>
      <c r="E22" s="159" t="s">
        <v>213</v>
      </c>
      <c r="F22" s="159" t="s">
        <v>215</v>
      </c>
      <c r="G22" s="159" t="s">
        <v>217</v>
      </c>
      <c r="H22" s="159"/>
      <c r="I22" s="159" t="s">
        <v>219</v>
      </c>
    </row>
    <row r="23" spans="1:28" ht="25.15" customHeight="1">
      <c r="A23" s="59"/>
      <c r="C23" s="153" t="s">
        <v>67</v>
      </c>
      <c r="D23" s="153"/>
      <c r="E23" s="153" t="s">
        <v>254</v>
      </c>
      <c r="F23" s="153"/>
      <c r="G23" s="153"/>
      <c r="H23" s="153"/>
    </row>
    <row r="24" spans="1:28" ht="41.25" customHeight="1">
      <c r="A24" s="59"/>
      <c r="B24" s="160" t="s">
        <v>270</v>
      </c>
      <c r="C24" s="153"/>
      <c r="D24" s="153"/>
      <c r="E24" s="153" t="s">
        <v>56</v>
      </c>
      <c r="F24" s="153" t="s">
        <v>255</v>
      </c>
      <c r="G24" s="153" t="s">
        <v>256</v>
      </c>
      <c r="H24" s="153"/>
      <c r="X24" s="315"/>
      <c r="Y24" s="315"/>
      <c r="Z24" s="315"/>
      <c r="AA24" s="315"/>
      <c r="AB24" s="315"/>
    </row>
    <row r="25" spans="1:28" ht="25.15" customHeight="1" thickBot="1">
      <c r="A25" s="59"/>
      <c r="C25" s="153"/>
      <c r="D25" s="153" t="s">
        <v>271</v>
      </c>
      <c r="E25" s="153" t="s">
        <v>257</v>
      </c>
      <c r="F25" s="153" t="s">
        <v>257</v>
      </c>
      <c r="G25" s="153" t="s">
        <v>257</v>
      </c>
      <c r="H25" s="446"/>
      <c r="I25" s="153" t="s">
        <v>272</v>
      </c>
    </row>
    <row r="26" spans="1:28" ht="42.75" customHeight="1" thickBot="1">
      <c r="A26" s="59">
        <f>+A15+1</f>
        <v>8</v>
      </c>
      <c r="B26" s="332" t="s">
        <v>273</v>
      </c>
      <c r="C26" s="820">
        <f t="shared" ref="C26:C36" si="2">+SUM(D26:G26)</f>
        <v>489677</v>
      </c>
      <c r="D26" s="549">
        <v>0</v>
      </c>
      <c r="E26" s="549">
        <v>0</v>
      </c>
      <c r="F26" s="549">
        <v>0</v>
      </c>
      <c r="G26" s="549">
        <f>764210-274533</f>
        <v>489677</v>
      </c>
      <c r="H26" s="686"/>
      <c r="I26" s="407" t="s">
        <v>274</v>
      </c>
    </row>
    <row r="27" spans="1:28" ht="38.25" customHeight="1" thickBot="1">
      <c r="A27" s="59">
        <f>+A26+1</f>
        <v>9</v>
      </c>
      <c r="B27" s="333" t="s">
        <v>275</v>
      </c>
      <c r="C27" s="820">
        <f t="shared" si="2"/>
        <v>2707542</v>
      </c>
      <c r="D27" s="551">
        <v>2707542</v>
      </c>
      <c r="E27" s="551">
        <v>0</v>
      </c>
      <c r="F27" s="551">
        <v>0</v>
      </c>
      <c r="G27" s="549">
        <v>0</v>
      </c>
      <c r="H27" s="687"/>
      <c r="I27" s="407" t="s">
        <v>276</v>
      </c>
    </row>
    <row r="28" spans="1:28" ht="35.25" customHeight="1">
      <c r="A28" s="59">
        <f t="shared" ref="A28:A39" si="3">+A27+1</f>
        <v>10</v>
      </c>
      <c r="B28" s="333" t="s">
        <v>277</v>
      </c>
      <c r="C28" s="820">
        <f t="shared" si="2"/>
        <v>1006570</v>
      </c>
      <c r="D28" s="551">
        <v>0</v>
      </c>
      <c r="E28" s="551">
        <v>0</v>
      </c>
      <c r="F28" s="551">
        <v>0</v>
      </c>
      <c r="G28" s="549">
        <v>1006570</v>
      </c>
      <c r="H28" s="687"/>
      <c r="I28" s="407" t="s">
        <v>274</v>
      </c>
    </row>
    <row r="29" spans="1:28" ht="25.15" customHeight="1">
      <c r="A29" s="59">
        <f t="shared" si="3"/>
        <v>11</v>
      </c>
      <c r="B29" s="503" t="s">
        <v>278</v>
      </c>
      <c r="C29" s="820">
        <f t="shared" si="2"/>
        <v>-1010449</v>
      </c>
      <c r="D29" s="551">
        <v>0</v>
      </c>
      <c r="E29" s="551">
        <v>0</v>
      </c>
      <c r="F29" s="551">
        <v>-1010449</v>
      </c>
      <c r="G29" s="551">
        <v>0</v>
      </c>
      <c r="H29" s="687"/>
      <c r="I29" s="405" t="s">
        <v>279</v>
      </c>
    </row>
    <row r="30" spans="1:28" ht="25.15" customHeight="1">
      <c r="A30" s="59">
        <f t="shared" si="3"/>
        <v>12</v>
      </c>
      <c r="B30" s="333" t="s">
        <v>280</v>
      </c>
      <c r="C30" s="820">
        <f t="shared" si="2"/>
        <v>683160</v>
      </c>
      <c r="D30" s="551">
        <v>0</v>
      </c>
      <c r="E30" s="551">
        <v>0</v>
      </c>
      <c r="F30" s="551">
        <v>0</v>
      </c>
      <c r="G30" s="551">
        <v>683160</v>
      </c>
      <c r="H30" s="687"/>
      <c r="I30" s="407" t="s">
        <v>281</v>
      </c>
    </row>
    <row r="31" spans="1:28" ht="25.15" customHeight="1">
      <c r="A31" s="59">
        <f t="shared" si="3"/>
        <v>13</v>
      </c>
      <c r="B31" s="333" t="s">
        <v>282</v>
      </c>
      <c r="C31" s="820">
        <f t="shared" si="2"/>
        <v>937976</v>
      </c>
      <c r="D31" s="551">
        <v>937976</v>
      </c>
      <c r="E31" s="551">
        <v>0</v>
      </c>
      <c r="F31" s="551">
        <v>0</v>
      </c>
      <c r="G31" s="551">
        <v>0</v>
      </c>
      <c r="H31" s="687"/>
      <c r="I31" s="407" t="s">
        <v>386</v>
      </c>
    </row>
    <row r="32" spans="1:28" ht="25.15" customHeight="1">
      <c r="A32" s="59">
        <f t="shared" si="3"/>
        <v>14</v>
      </c>
      <c r="B32" s="333" t="s">
        <v>284</v>
      </c>
      <c r="C32" s="820">
        <f t="shared" si="2"/>
        <v>52898</v>
      </c>
      <c r="D32" s="551">
        <v>0</v>
      </c>
      <c r="E32" s="551">
        <v>0</v>
      </c>
      <c r="F32" s="551">
        <v>0</v>
      </c>
      <c r="G32" s="551">
        <v>52898</v>
      </c>
      <c r="H32" s="687"/>
      <c r="I32" s="407" t="s">
        <v>285</v>
      </c>
    </row>
    <row r="33" spans="1:10" ht="35.1" customHeight="1">
      <c r="A33" s="59">
        <f t="shared" si="3"/>
        <v>15</v>
      </c>
      <c r="B33" s="333" t="s">
        <v>286</v>
      </c>
      <c r="C33" s="820">
        <f t="shared" si="2"/>
        <v>425012</v>
      </c>
      <c r="D33" s="551">
        <v>425012</v>
      </c>
      <c r="E33" s="551">
        <v>0</v>
      </c>
      <c r="F33" s="551">
        <v>0</v>
      </c>
      <c r="G33" s="551">
        <v>0</v>
      </c>
      <c r="H33" s="687"/>
      <c r="I33" s="407" t="s">
        <v>287</v>
      </c>
    </row>
    <row r="34" spans="1:10" ht="35.1" customHeight="1">
      <c r="A34" s="59">
        <f t="shared" si="3"/>
        <v>16</v>
      </c>
      <c r="B34" s="333" t="s">
        <v>288</v>
      </c>
      <c r="C34" s="820">
        <f t="shared" si="2"/>
        <v>431994</v>
      </c>
      <c r="D34" s="551">
        <v>0</v>
      </c>
      <c r="E34" s="551">
        <v>0</v>
      </c>
      <c r="F34" s="551">
        <v>431994</v>
      </c>
      <c r="G34" s="551">
        <v>0</v>
      </c>
      <c r="H34" s="687"/>
      <c r="I34" s="407" t="s">
        <v>387</v>
      </c>
    </row>
    <row r="35" spans="1:10" ht="35.1" customHeight="1">
      <c r="A35" s="59">
        <f t="shared" si="3"/>
        <v>17</v>
      </c>
      <c r="B35" s="333" t="s">
        <v>290</v>
      </c>
      <c r="C35" s="821">
        <f t="shared" si="2"/>
        <v>1288335</v>
      </c>
      <c r="D35" s="551">
        <v>1288335</v>
      </c>
      <c r="E35" s="551">
        <v>0</v>
      </c>
      <c r="F35" s="551">
        <v>0</v>
      </c>
      <c r="G35" s="551">
        <v>0</v>
      </c>
      <c r="H35" s="687"/>
      <c r="I35" s="407" t="s">
        <v>388</v>
      </c>
    </row>
    <row r="36" spans="1:10" ht="35.1" customHeight="1">
      <c r="A36" s="59">
        <f t="shared" si="3"/>
        <v>18</v>
      </c>
      <c r="B36" s="333" t="s">
        <v>292</v>
      </c>
      <c r="C36" s="819">
        <f t="shared" si="2"/>
        <v>-223999</v>
      </c>
      <c r="D36" s="551">
        <v>-223999</v>
      </c>
      <c r="E36" s="551">
        <v>0</v>
      </c>
      <c r="F36" s="551">
        <v>0</v>
      </c>
      <c r="G36" s="551">
        <v>0</v>
      </c>
      <c r="H36" s="687"/>
      <c r="I36" s="407" t="s">
        <v>389</v>
      </c>
    </row>
    <row r="37" spans="1:10" ht="35.1" customHeight="1">
      <c r="A37" s="59">
        <f>+A36+1</f>
        <v>19</v>
      </c>
      <c r="B37" s="333" t="s">
        <v>294</v>
      </c>
      <c r="C37" s="552">
        <f>+C38-SUM(C26:C36)</f>
        <v>3053891</v>
      </c>
      <c r="D37" s="551">
        <f>+C37</f>
        <v>3053891</v>
      </c>
      <c r="E37" s="551">
        <v>0</v>
      </c>
      <c r="F37" s="551">
        <v>0</v>
      </c>
      <c r="G37" s="551">
        <v>0</v>
      </c>
      <c r="H37" s="687"/>
      <c r="I37" s="407" t="s">
        <v>390</v>
      </c>
    </row>
    <row r="38" spans="1:10" ht="35.1" customHeight="1">
      <c r="A38" s="59">
        <f t="shared" si="3"/>
        <v>20</v>
      </c>
      <c r="B38" s="334" t="s">
        <v>296</v>
      </c>
      <c r="C38" s="553">
        <v>9842607</v>
      </c>
      <c r="D38" s="553">
        <f t="shared" ref="D38:F38" si="4">SUM(D26:D37)</f>
        <v>8188757</v>
      </c>
      <c r="E38" s="553">
        <f t="shared" si="4"/>
        <v>0</v>
      </c>
      <c r="F38" s="553">
        <f t="shared" si="4"/>
        <v>-578455</v>
      </c>
      <c r="G38" s="553">
        <f>SUM(G26:G37)</f>
        <v>2232305</v>
      </c>
      <c r="H38" s="553"/>
      <c r="I38" s="161"/>
    </row>
    <row r="39" spans="1:10" ht="35.1" customHeight="1">
      <c r="A39" s="59">
        <f t="shared" si="3"/>
        <v>21</v>
      </c>
      <c r="B39" s="331" t="s">
        <v>297</v>
      </c>
      <c r="C39" s="554">
        <f>SUM(D39:G39)</f>
        <v>-1010449</v>
      </c>
      <c r="D39" s="554">
        <f>D29</f>
        <v>0</v>
      </c>
      <c r="E39" s="555">
        <f>E29</f>
        <v>0</v>
      </c>
      <c r="F39" s="556">
        <f>F29</f>
        <v>-1010449</v>
      </c>
      <c r="G39" s="556">
        <f>G29</f>
        <v>0</v>
      </c>
      <c r="H39" s="556"/>
      <c r="I39" s="167" t="str">
        <f>+'1A - ADIT'!I44</f>
        <v>All FAS 109 items excluded from formula rate</v>
      </c>
    </row>
    <row r="40" spans="1:10" ht="38.25" customHeight="1" thickBot="1">
      <c r="A40" s="59">
        <f>+A39+1</f>
        <v>22</v>
      </c>
      <c r="B40" s="330" t="s">
        <v>67</v>
      </c>
      <c r="C40" s="557">
        <f>+C38-C39</f>
        <v>10853056</v>
      </c>
      <c r="D40" s="557">
        <f t="shared" ref="D40:G40" si="5">+D38-D39</f>
        <v>8188757</v>
      </c>
      <c r="E40" s="557">
        <f t="shared" si="5"/>
        <v>0</v>
      </c>
      <c r="F40" s="557">
        <f t="shared" si="5"/>
        <v>431994</v>
      </c>
      <c r="G40" s="557">
        <f t="shared" si="5"/>
        <v>2232305</v>
      </c>
      <c r="H40" s="557"/>
      <c r="I40" s="329"/>
    </row>
    <row r="41" spans="1:10" ht="30" customHeight="1">
      <c r="A41" s="59"/>
      <c r="B41" s="58"/>
      <c r="C41" s="402"/>
      <c r="D41" s="403"/>
      <c r="E41" s="403"/>
      <c r="F41" s="403"/>
      <c r="G41" s="403"/>
      <c r="H41" s="403"/>
      <c r="I41" s="399"/>
    </row>
    <row r="42" spans="1:10" ht="15.75" customHeight="1">
      <c r="A42" s="59"/>
      <c r="B42" s="45" t="s">
        <v>299</v>
      </c>
      <c r="D42" s="156"/>
      <c r="E42" s="467"/>
      <c r="F42" s="59"/>
      <c r="I42" s="468"/>
    </row>
    <row r="43" spans="1:10" s="151" customFormat="1" ht="18">
      <c r="A43" s="365"/>
      <c r="B43" s="891" t="s">
        <v>391</v>
      </c>
      <c r="C43" s="891"/>
      <c r="D43" s="891"/>
      <c r="E43" s="891"/>
      <c r="F43" s="891"/>
      <c r="G43" s="891"/>
      <c r="H43" s="891"/>
      <c r="I43" s="891"/>
      <c r="J43" s="45"/>
    </row>
    <row r="44" spans="1:10" s="151" customFormat="1" ht="18">
      <c r="A44" s="365"/>
      <c r="B44" s="154" t="s">
        <v>301</v>
      </c>
      <c r="C44" s="45"/>
      <c r="D44" s="45"/>
      <c r="E44" s="45"/>
      <c r="F44" s="45"/>
      <c r="G44" s="59"/>
      <c r="H44" s="59"/>
      <c r="I44" s="59"/>
      <c r="J44" s="45"/>
    </row>
    <row r="45" spans="1:10" s="151" customFormat="1" ht="18">
      <c r="A45" s="365"/>
      <c r="B45" s="154" t="s">
        <v>313</v>
      </c>
      <c r="C45" s="45"/>
      <c r="D45" s="45"/>
      <c r="E45" s="45"/>
      <c r="F45" s="45"/>
      <c r="G45" s="59"/>
      <c r="H45" s="59"/>
      <c r="I45" s="59"/>
      <c r="J45" s="45"/>
    </row>
    <row r="46" spans="1:10">
      <c r="A46" s="59"/>
      <c r="B46" s="154" t="s">
        <v>392</v>
      </c>
      <c r="G46" s="59"/>
      <c r="H46" s="59"/>
      <c r="I46" s="59"/>
    </row>
    <row r="47" spans="1:10" ht="15" customHeight="1">
      <c r="A47" s="59"/>
      <c r="B47" s="891" t="s">
        <v>393</v>
      </c>
      <c r="C47" s="891"/>
      <c r="D47" s="891"/>
      <c r="E47" s="891"/>
      <c r="F47" s="891"/>
      <c r="G47" s="891"/>
      <c r="H47" s="891"/>
      <c r="I47" s="891"/>
    </row>
    <row r="48" spans="1:10">
      <c r="A48" s="59"/>
      <c r="B48" s="154" t="s">
        <v>305</v>
      </c>
      <c r="C48" s="59"/>
      <c r="D48" s="469"/>
      <c r="E48" s="59"/>
      <c r="F48" s="59"/>
      <c r="G48" s="59"/>
      <c r="H48" s="59"/>
      <c r="I48" s="445"/>
    </row>
    <row r="49" spans="1:10">
      <c r="A49" s="59"/>
    </row>
    <row r="50" spans="1:10" ht="15.75">
      <c r="A50" s="59"/>
      <c r="C50" s="159"/>
      <c r="D50" s="159"/>
      <c r="E50" s="159"/>
      <c r="F50" s="159"/>
      <c r="G50" s="159"/>
      <c r="H50" s="159"/>
      <c r="I50" s="445"/>
    </row>
    <row r="51" spans="1:10" ht="18">
      <c r="A51" s="59"/>
      <c r="B51" s="892" t="str">
        <f>+B1</f>
        <v>Dayton Power and Light</v>
      </c>
      <c r="C51" s="893"/>
      <c r="D51" s="893"/>
      <c r="E51" s="893"/>
      <c r="F51" s="893"/>
      <c r="G51" s="893"/>
      <c r="H51" s="893"/>
      <c r="I51" s="893"/>
      <c r="J51" s="151"/>
    </row>
    <row r="52" spans="1:10" ht="18">
      <c r="A52" s="59"/>
      <c r="B52" s="892" t="str">
        <f>+B2</f>
        <v xml:space="preserve">ATTACHMENT H-15A </v>
      </c>
      <c r="C52" s="892"/>
      <c r="D52" s="892"/>
      <c r="E52" s="892"/>
      <c r="F52" s="892"/>
      <c r="G52" s="892"/>
      <c r="H52" s="892"/>
      <c r="I52" s="892"/>
      <c r="J52" s="151"/>
    </row>
    <row r="53" spans="1:10" ht="18">
      <c r="A53" s="59"/>
      <c r="B53" s="892" t="str">
        <f>+B3</f>
        <v>Attachment 1C - Accumulated Deferred Income Taxes (ADIT) Worksheet - December 31 of Prior Year</v>
      </c>
      <c r="C53" s="892"/>
      <c r="D53" s="892"/>
      <c r="E53" s="892"/>
      <c r="F53" s="892"/>
      <c r="G53" s="892"/>
      <c r="H53" s="892"/>
      <c r="I53" s="892"/>
      <c r="J53" s="151"/>
    </row>
    <row r="54" spans="1:10" ht="15.75">
      <c r="A54" s="59"/>
      <c r="B54" s="896"/>
      <c r="C54" s="896"/>
      <c r="D54" s="896"/>
      <c r="E54" s="896"/>
      <c r="F54" s="896"/>
      <c r="G54" s="896"/>
      <c r="H54" s="896"/>
      <c r="I54" s="896"/>
    </row>
    <row r="55" spans="1:10" ht="25.15" customHeight="1">
      <c r="A55" s="59"/>
      <c r="B55" s="159" t="s">
        <v>207</v>
      </c>
      <c r="C55" s="159" t="s">
        <v>209</v>
      </c>
      <c r="D55" s="159" t="s">
        <v>211</v>
      </c>
      <c r="E55" s="159" t="s">
        <v>213</v>
      </c>
      <c r="F55" s="159" t="s">
        <v>215</v>
      </c>
      <c r="G55" s="159" t="s">
        <v>217</v>
      </c>
      <c r="H55" s="159"/>
      <c r="I55" s="627"/>
    </row>
    <row r="56" spans="1:10" ht="25.15" customHeight="1">
      <c r="A56" s="59"/>
      <c r="B56" s="45"/>
      <c r="C56" s="153" t="s">
        <v>67</v>
      </c>
      <c r="D56" s="153"/>
      <c r="E56" s="153" t="s">
        <v>254</v>
      </c>
      <c r="F56" s="153"/>
      <c r="G56" s="153"/>
      <c r="H56" s="153"/>
      <c r="I56" s="628"/>
    </row>
    <row r="57" spans="1:10" ht="26.45" customHeight="1">
      <c r="A57" s="59"/>
      <c r="B57" s="155" t="s">
        <v>307</v>
      </c>
      <c r="C57" s="153"/>
      <c r="D57" s="153"/>
      <c r="E57" s="153" t="s">
        <v>56</v>
      </c>
      <c r="F57" s="153" t="s">
        <v>255</v>
      </c>
      <c r="G57" s="153" t="s">
        <v>256</v>
      </c>
      <c r="H57" s="153"/>
      <c r="I57" s="628"/>
    </row>
    <row r="58" spans="1:10" ht="22.15" customHeight="1" thickBot="1">
      <c r="A58" s="59"/>
      <c r="C58" s="153"/>
      <c r="D58" s="153" t="str">
        <f>+D25</f>
        <v>Excluded</v>
      </c>
      <c r="E58" s="153" t="s">
        <v>257</v>
      </c>
      <c r="F58" s="153" t="s">
        <v>257</v>
      </c>
      <c r="G58" s="153" t="s">
        <v>257</v>
      </c>
      <c r="H58" s="153"/>
      <c r="I58" s="159" t="s">
        <v>394</v>
      </c>
    </row>
    <row r="59" spans="1:10" ht="27.6" customHeight="1">
      <c r="A59" s="59">
        <f>+A40+1</f>
        <v>23</v>
      </c>
      <c r="B59" s="504" t="s">
        <v>308</v>
      </c>
      <c r="C59" s="815">
        <f>+SUM(D59:G59)</f>
        <v>0</v>
      </c>
      <c r="D59" s="759">
        <v>0</v>
      </c>
      <c r="E59" s="760">
        <v>0</v>
      </c>
      <c r="F59" s="551">
        <v>0</v>
      </c>
      <c r="G59" s="551">
        <v>0</v>
      </c>
      <c r="H59" s="818"/>
      <c r="I59" s="406" t="s">
        <v>395</v>
      </c>
    </row>
    <row r="60" spans="1:10" ht="35.1" customHeight="1">
      <c r="A60" s="59">
        <f>+A59+1</f>
        <v>24</v>
      </c>
      <c r="B60" s="333" t="s">
        <v>309</v>
      </c>
      <c r="C60" s="815">
        <f>+SUM(D60:G60)</f>
        <v>-6712557</v>
      </c>
      <c r="D60" s="551">
        <v>4150</v>
      </c>
      <c r="E60" s="561">
        <v>-3795911</v>
      </c>
      <c r="F60" s="551">
        <v>0</v>
      </c>
      <c r="G60" s="551">
        <v>-2920796</v>
      </c>
      <c r="H60" s="687"/>
      <c r="I60" s="652" t="s">
        <v>310</v>
      </c>
    </row>
    <row r="61" spans="1:10" ht="35.1" customHeight="1" thickBot="1">
      <c r="A61" s="59">
        <f>+A60+1</f>
        <v>25</v>
      </c>
      <c r="B61" s="330" t="s">
        <v>67</v>
      </c>
      <c r="C61" s="557">
        <f>+SUM(C59:C60)</f>
        <v>-6712557</v>
      </c>
      <c r="D61" s="557">
        <f t="shared" ref="D61:G61" si="6">+SUM(D59:D60)</f>
        <v>4150</v>
      </c>
      <c r="E61" s="557">
        <f t="shared" si="6"/>
        <v>-3795911</v>
      </c>
      <c r="F61" s="557">
        <f t="shared" si="6"/>
        <v>0</v>
      </c>
      <c r="G61" s="557">
        <f t="shared" si="6"/>
        <v>-2920796</v>
      </c>
      <c r="H61" s="557"/>
      <c r="I61" s="329"/>
    </row>
    <row r="62" spans="1:10" ht="23.45" customHeight="1">
      <c r="A62" s="59"/>
      <c r="B62" s="45" t="s">
        <v>311</v>
      </c>
      <c r="C62" s="58"/>
      <c r="D62" s="58"/>
      <c r="E62" s="159"/>
      <c r="F62" s="162"/>
      <c r="H62" s="58"/>
      <c r="I62" s="399"/>
    </row>
    <row r="63" spans="1:10" ht="23.45" customHeight="1">
      <c r="A63" s="59"/>
      <c r="B63" s="154" t="s">
        <v>312</v>
      </c>
      <c r="C63" s="58"/>
      <c r="D63" s="58"/>
      <c r="E63" s="58"/>
      <c r="F63" s="58"/>
      <c r="G63" s="159"/>
      <c r="H63" s="159"/>
      <c r="I63" s="159"/>
    </row>
    <row r="64" spans="1:10" ht="15.75">
      <c r="A64" s="59"/>
      <c r="B64" s="154" t="s">
        <v>301</v>
      </c>
      <c r="C64" s="58"/>
      <c r="D64" s="58"/>
      <c r="E64" s="58"/>
      <c r="F64" s="58"/>
      <c r="G64" s="159"/>
      <c r="H64" s="159"/>
      <c r="I64" s="159"/>
    </row>
    <row r="65" spans="1:10" ht="18" customHeight="1">
      <c r="A65" s="59"/>
      <c r="B65" s="154" t="s">
        <v>313</v>
      </c>
      <c r="C65" s="58"/>
      <c r="D65" s="58"/>
      <c r="E65" s="58"/>
      <c r="F65" s="58"/>
      <c r="G65" s="159"/>
      <c r="H65" s="159"/>
      <c r="I65" s="159"/>
    </row>
    <row r="66" spans="1:10" s="151" customFormat="1" ht="18" customHeight="1">
      <c r="A66" s="365"/>
      <c r="B66" s="154" t="s">
        <v>314</v>
      </c>
      <c r="C66" s="58"/>
      <c r="D66" s="58"/>
      <c r="E66" s="58"/>
      <c r="F66" s="58"/>
      <c r="G66" s="159"/>
      <c r="H66" s="159"/>
      <c r="I66" s="159"/>
      <c r="J66" s="45"/>
    </row>
    <row r="67" spans="1:10" s="151" customFormat="1" ht="18">
      <c r="A67" s="365"/>
      <c r="B67" s="891" t="s">
        <v>393</v>
      </c>
      <c r="C67" s="891"/>
      <c r="D67" s="891"/>
      <c r="E67" s="891"/>
      <c r="F67" s="891"/>
      <c r="G67" s="891"/>
      <c r="H67" s="891"/>
      <c r="I67" s="891"/>
      <c r="J67" s="45"/>
    </row>
    <row r="68" spans="1:10" s="151" customFormat="1" ht="18">
      <c r="A68" s="365"/>
      <c r="B68" s="154" t="s">
        <v>305</v>
      </c>
      <c r="C68" s="59"/>
      <c r="D68" s="469"/>
      <c r="E68" s="59"/>
      <c r="F68" s="59"/>
      <c r="G68" s="59"/>
      <c r="H68" s="59"/>
      <c r="I68" s="445"/>
      <c r="J68" s="45"/>
    </row>
    <row r="69" spans="1:10" s="151" customFormat="1" ht="18">
      <c r="A69" s="365"/>
      <c r="B69" s="159"/>
      <c r="C69" s="45"/>
      <c r="D69" s="45"/>
      <c r="E69" s="45"/>
      <c r="F69" s="45"/>
      <c r="G69" s="45"/>
      <c r="H69" s="45"/>
      <c r="I69" s="45"/>
      <c r="J69" s="45"/>
    </row>
    <row r="70" spans="1:10" ht="18">
      <c r="A70" s="59"/>
      <c r="B70" s="172" t="str">
        <f>B1</f>
        <v>Dayton Power and Light</v>
      </c>
      <c r="C70" s="173"/>
      <c r="D70" s="173"/>
      <c r="E70" s="173"/>
      <c r="F70" s="173"/>
      <c r="G70" s="173"/>
      <c r="H70" s="173"/>
      <c r="I70" s="173"/>
      <c r="J70" s="151"/>
    </row>
    <row r="71" spans="1:10" ht="18">
      <c r="A71" s="59"/>
      <c r="B71" s="892" t="str">
        <f>+B52</f>
        <v xml:space="preserve">ATTACHMENT H-15A </v>
      </c>
      <c r="C71" s="892"/>
      <c r="D71" s="892"/>
      <c r="E71" s="892"/>
      <c r="F71" s="892"/>
      <c r="G71" s="892"/>
      <c r="H71" s="892"/>
      <c r="I71" s="892"/>
      <c r="J71" s="151"/>
    </row>
    <row r="72" spans="1:10" ht="18">
      <c r="A72" s="59"/>
      <c r="B72" s="892" t="str">
        <f>+B3</f>
        <v>Attachment 1C - Accumulated Deferred Income Taxes (ADIT) Worksheet - December 31 of Prior Year</v>
      </c>
      <c r="C72" s="892"/>
      <c r="D72" s="892"/>
      <c r="E72" s="892"/>
      <c r="F72" s="892"/>
      <c r="G72" s="892"/>
      <c r="H72" s="892"/>
      <c r="I72" s="892"/>
      <c r="J72" s="151"/>
    </row>
    <row r="73" spans="1:10" ht="20.100000000000001" customHeight="1">
      <c r="A73" s="59"/>
      <c r="B73" s="163"/>
      <c r="C73" s="151"/>
      <c r="D73" s="151"/>
      <c r="E73" s="151"/>
      <c r="F73" s="151"/>
      <c r="G73" s="149"/>
      <c r="H73" s="149"/>
      <c r="I73" s="185"/>
      <c r="J73" s="151"/>
    </row>
    <row r="74" spans="1:10" ht="36.75" customHeight="1">
      <c r="A74" s="59"/>
      <c r="B74" s="159" t="s">
        <v>207</v>
      </c>
      <c r="C74" s="159" t="s">
        <v>209</v>
      </c>
      <c r="D74" s="159" t="s">
        <v>211</v>
      </c>
      <c r="E74" s="159" t="s">
        <v>213</v>
      </c>
      <c r="F74" s="159" t="s">
        <v>215</v>
      </c>
      <c r="G74" s="159" t="s">
        <v>217</v>
      </c>
      <c r="H74" s="159"/>
      <c r="I74" s="159" t="s">
        <v>219</v>
      </c>
    </row>
    <row r="75" spans="1:10" ht="33.75" customHeight="1">
      <c r="A75" s="59"/>
      <c r="B75" s="155" t="s">
        <v>315</v>
      </c>
      <c r="C75" s="153" t="s">
        <v>67</v>
      </c>
      <c r="D75" s="165"/>
      <c r="E75" s="165" t="s">
        <v>396</v>
      </c>
      <c r="F75" s="165" t="s">
        <v>255</v>
      </c>
      <c r="G75" s="165" t="s">
        <v>256</v>
      </c>
      <c r="H75" s="159"/>
    </row>
    <row r="76" spans="1:10" ht="36" customHeight="1" thickBot="1">
      <c r="A76" s="59"/>
      <c r="C76" s="153"/>
      <c r="D76" s="153" t="str">
        <f>+D58</f>
        <v>Excluded</v>
      </c>
      <c r="E76" s="153" t="str">
        <f>+E58</f>
        <v>Related</v>
      </c>
      <c r="F76" s="153" t="str">
        <f>+F58</f>
        <v>Related</v>
      </c>
      <c r="G76" s="153" t="str">
        <f>+G58</f>
        <v>Related</v>
      </c>
      <c r="H76" s="159"/>
    </row>
    <row r="77" spans="1:10" ht="30.75" customHeight="1">
      <c r="A77" s="59">
        <f>+A61+1</f>
        <v>26</v>
      </c>
      <c r="B77" s="332" t="s">
        <v>316</v>
      </c>
      <c r="C77" s="549">
        <f>+SUM(D77:G77)</f>
        <v>-6274880</v>
      </c>
      <c r="D77" s="549">
        <v>0</v>
      </c>
      <c r="E77" s="549">
        <v>0</v>
      </c>
      <c r="F77" s="549">
        <v>0</v>
      </c>
      <c r="G77" s="549">
        <v>-6274880</v>
      </c>
      <c r="H77" s="688"/>
      <c r="I77" s="651" t="s">
        <v>317</v>
      </c>
    </row>
    <row r="78" spans="1:10" ht="43.5" customHeight="1">
      <c r="A78" s="59">
        <f>+A77+1</f>
        <v>27</v>
      </c>
      <c r="B78" s="333" t="s">
        <v>318</v>
      </c>
      <c r="C78" s="551">
        <f>+SUM(D78:G78)</f>
        <v>-857412</v>
      </c>
      <c r="D78" s="551">
        <v>-857412</v>
      </c>
      <c r="E78" s="551">
        <v>0</v>
      </c>
      <c r="F78" s="551">
        <v>0</v>
      </c>
      <c r="G78" s="551">
        <v>0</v>
      </c>
      <c r="H78" s="687"/>
      <c r="I78" s="408" t="s">
        <v>319</v>
      </c>
    </row>
    <row r="79" spans="1:10" ht="40.5" customHeight="1">
      <c r="A79" s="59">
        <f t="shared" ref="A79:A87" si="7">+A78+1</f>
        <v>28</v>
      </c>
      <c r="B79" s="333" t="s">
        <v>320</v>
      </c>
      <c r="C79" s="551">
        <f t="shared" ref="C79:C83" si="8">+SUM(D79:G79)</f>
        <v>-19748578</v>
      </c>
      <c r="D79" s="551">
        <v>-19748578</v>
      </c>
      <c r="E79" s="551">
        <v>0</v>
      </c>
      <c r="F79" s="551">
        <v>0</v>
      </c>
      <c r="G79" s="551">
        <v>0</v>
      </c>
      <c r="H79" s="687"/>
      <c r="I79" s="408" t="s">
        <v>321</v>
      </c>
    </row>
    <row r="80" spans="1:10" s="530" customFormat="1" ht="33" customHeight="1">
      <c r="A80" s="653">
        <f t="shared" si="7"/>
        <v>29</v>
      </c>
      <c r="B80" s="654" t="s">
        <v>322</v>
      </c>
      <c r="C80" s="551">
        <f t="shared" si="8"/>
        <v>0</v>
      </c>
      <c r="D80" s="551">
        <v>0</v>
      </c>
      <c r="E80" s="551">
        <v>0</v>
      </c>
      <c r="F80" s="551">
        <v>0</v>
      </c>
      <c r="G80" s="551">
        <v>0</v>
      </c>
      <c r="H80" s="687"/>
      <c r="I80" s="408" t="s">
        <v>323</v>
      </c>
    </row>
    <row r="81" spans="1:9" ht="25.15" customHeight="1">
      <c r="A81" s="59">
        <f t="shared" si="7"/>
        <v>30</v>
      </c>
      <c r="B81" s="503" t="s">
        <v>324</v>
      </c>
      <c r="C81" s="551">
        <f t="shared" si="8"/>
        <v>14073056</v>
      </c>
      <c r="D81" s="551">
        <v>0</v>
      </c>
      <c r="E81" s="551">
        <v>0</v>
      </c>
      <c r="F81" s="551">
        <v>14073056</v>
      </c>
      <c r="G81" s="551">
        <v>0</v>
      </c>
      <c r="H81" s="687"/>
      <c r="I81" s="404" t="s">
        <v>279</v>
      </c>
    </row>
    <row r="82" spans="1:9" ht="25.15" customHeight="1">
      <c r="A82" s="59">
        <f t="shared" si="7"/>
        <v>31</v>
      </c>
      <c r="B82" s="333" t="s">
        <v>325</v>
      </c>
      <c r="C82" s="551">
        <f t="shared" si="8"/>
        <v>805104</v>
      </c>
      <c r="D82" s="551">
        <v>0</v>
      </c>
      <c r="E82" s="551">
        <v>0</v>
      </c>
      <c r="F82" s="551">
        <v>0</v>
      </c>
      <c r="G82" s="551">
        <v>805104</v>
      </c>
      <c r="H82" s="687"/>
      <c r="I82" s="408" t="s">
        <v>326</v>
      </c>
    </row>
    <row r="83" spans="1:9" ht="25.15" customHeight="1" thickBot="1">
      <c r="A83" s="59">
        <f>+A82+1</f>
        <v>32</v>
      </c>
      <c r="B83" s="333" t="s">
        <v>294</v>
      </c>
      <c r="C83" s="551">
        <f t="shared" si="8"/>
        <v>-22349631</v>
      </c>
      <c r="D83" s="551">
        <v>-22349631</v>
      </c>
      <c r="E83" s="551">
        <v>0</v>
      </c>
      <c r="F83" s="551">
        <v>0</v>
      </c>
      <c r="G83" s="551">
        <v>0</v>
      </c>
      <c r="H83" s="687"/>
      <c r="I83" s="408" t="s">
        <v>397</v>
      </c>
    </row>
    <row r="84" spans="1:9" ht="35.1" customHeight="1">
      <c r="A84" s="59">
        <f t="shared" si="7"/>
        <v>33</v>
      </c>
      <c r="B84" s="174" t="s">
        <v>328</v>
      </c>
      <c r="C84" s="562">
        <f>SUM(C77:C83)</f>
        <v>-34352341</v>
      </c>
      <c r="D84" s="562">
        <f t="shared" ref="D84:G84" si="9">SUM(D77:D83)</f>
        <v>-42955621</v>
      </c>
      <c r="E84" s="562">
        <f t="shared" si="9"/>
        <v>0</v>
      </c>
      <c r="F84" s="562">
        <f>SUM(F77:F83)</f>
        <v>14073056</v>
      </c>
      <c r="G84" s="562">
        <f t="shared" si="9"/>
        <v>-5469776</v>
      </c>
      <c r="H84" s="562"/>
      <c r="I84" s="175"/>
    </row>
    <row r="85" spans="1:9" ht="15.6" customHeight="1">
      <c r="A85" s="59">
        <f t="shared" si="7"/>
        <v>34</v>
      </c>
      <c r="B85" s="166" t="s">
        <v>329</v>
      </c>
      <c r="C85" s="554">
        <f>+C81</f>
        <v>14073056</v>
      </c>
      <c r="D85" s="554">
        <f>+D81</f>
        <v>0</v>
      </c>
      <c r="E85" s="554">
        <f>+E81</f>
        <v>0</v>
      </c>
      <c r="F85" s="554">
        <f>+F81</f>
        <v>14073056</v>
      </c>
      <c r="G85" s="554">
        <f>+G81</f>
        <v>0</v>
      </c>
      <c r="H85" s="567"/>
      <c r="I85" s="167"/>
    </row>
    <row r="86" spans="1:9" ht="15.6" customHeight="1">
      <c r="A86" s="59">
        <f t="shared" si="7"/>
        <v>35</v>
      </c>
      <c r="B86" s="394" t="s">
        <v>330</v>
      </c>
      <c r="C86" s="563">
        <f>+C78</f>
        <v>-857412</v>
      </c>
      <c r="D86" s="563">
        <f>+D78</f>
        <v>-857412</v>
      </c>
      <c r="E86" s="563">
        <f>+E78</f>
        <v>0</v>
      </c>
      <c r="F86" s="563">
        <f>+F78</f>
        <v>0</v>
      </c>
      <c r="G86" s="563">
        <f>+G78</f>
        <v>0</v>
      </c>
      <c r="H86" s="568"/>
      <c r="I86" s="395" t="s">
        <v>331</v>
      </c>
    </row>
    <row r="87" spans="1:9" ht="35.1" customHeight="1" thickBot="1">
      <c r="A87" s="59">
        <f t="shared" si="7"/>
        <v>36</v>
      </c>
      <c r="B87" s="330" t="s">
        <v>67</v>
      </c>
      <c r="C87" s="557">
        <f>+C84-C85-C86</f>
        <v>-47567985</v>
      </c>
      <c r="D87" s="557">
        <f t="shared" ref="D87:G87" si="10">+D84-D85-D86</f>
        <v>-42098209</v>
      </c>
      <c r="E87" s="557">
        <f t="shared" si="10"/>
        <v>0</v>
      </c>
      <c r="F87" s="557">
        <f t="shared" si="10"/>
        <v>0</v>
      </c>
      <c r="G87" s="557">
        <f t="shared" si="10"/>
        <v>-5469776</v>
      </c>
      <c r="H87" s="557"/>
      <c r="I87" s="329"/>
    </row>
    <row r="88" spans="1:9" ht="28.15" customHeight="1">
      <c r="A88" s="59"/>
      <c r="B88" s="45" t="s">
        <v>332</v>
      </c>
      <c r="E88" s="59"/>
      <c r="F88" s="59"/>
      <c r="I88" s="168"/>
    </row>
    <row r="89" spans="1:9" ht="19.149999999999999" customHeight="1">
      <c r="A89" s="59"/>
      <c r="B89" s="154" t="str">
        <f>+B63</f>
        <v>1.  ADIT items related only to Non-Electric Operations or Production are directly assigned to Column C</v>
      </c>
      <c r="C89" s="58"/>
      <c r="D89" s="58"/>
      <c r="E89" s="58"/>
      <c r="F89" s="58"/>
      <c r="G89" s="159"/>
      <c r="H89" s="159"/>
      <c r="I89" s="159"/>
    </row>
    <row r="90" spans="1:9" ht="18.600000000000001" customHeight="1">
      <c r="A90" s="59"/>
      <c r="B90" s="154" t="s">
        <v>301</v>
      </c>
      <c r="C90" s="58"/>
      <c r="D90" s="58"/>
      <c r="E90" s="58"/>
      <c r="F90" s="58"/>
      <c r="G90" s="159"/>
      <c r="H90" s="159"/>
      <c r="I90" s="159"/>
    </row>
    <row r="91" spans="1:9" ht="15" customHeight="1">
      <c r="A91" s="59"/>
      <c r="B91" s="154" t="s">
        <v>313</v>
      </c>
      <c r="C91" s="58"/>
      <c r="D91" s="58"/>
      <c r="E91" s="58"/>
      <c r="F91" s="58"/>
      <c r="G91" s="159"/>
      <c r="H91" s="159"/>
      <c r="I91" s="159"/>
    </row>
    <row r="92" spans="1:9" ht="15.75">
      <c r="A92" s="59"/>
      <c r="B92" s="154" t="s">
        <v>314</v>
      </c>
      <c r="C92" s="58"/>
      <c r="D92" s="58"/>
      <c r="E92" s="58"/>
      <c r="F92" s="58"/>
      <c r="G92" s="159"/>
      <c r="H92" s="159"/>
      <c r="I92" s="159"/>
    </row>
    <row r="93" spans="1:9" ht="15.75" customHeight="1">
      <c r="A93" s="59"/>
      <c r="B93" s="891" t="s">
        <v>393</v>
      </c>
      <c r="C93" s="891"/>
      <c r="D93" s="891"/>
      <c r="E93" s="891"/>
      <c r="F93" s="891"/>
      <c r="G93" s="891"/>
      <c r="H93" s="891"/>
      <c r="I93" s="891"/>
    </row>
    <row r="94" spans="1:9" ht="15.75" customHeight="1">
      <c r="A94" s="59"/>
      <c r="B94" s="154" t="s">
        <v>305</v>
      </c>
      <c r="C94" s="59"/>
      <c r="D94" s="469"/>
      <c r="E94" s="59"/>
      <c r="F94" s="59"/>
      <c r="G94" s="59"/>
      <c r="H94" s="59"/>
      <c r="I94" s="445"/>
    </row>
    <row r="95" spans="1:9">
      <c r="A95" s="59"/>
      <c r="C95" s="170"/>
      <c r="D95" s="170"/>
      <c r="E95" s="170"/>
      <c r="F95" s="170"/>
      <c r="G95" s="170"/>
      <c r="H95" s="170"/>
      <c r="I95" s="170"/>
    </row>
    <row r="96" spans="1:9" ht="15.75">
      <c r="A96" s="59"/>
      <c r="B96" s="890"/>
      <c r="C96" s="890"/>
      <c r="D96" s="890"/>
      <c r="E96" s="890"/>
      <c r="F96" s="890"/>
      <c r="G96" s="890"/>
      <c r="H96" s="890"/>
      <c r="I96" s="890"/>
    </row>
    <row r="97" spans="1:9">
      <c r="A97" s="59"/>
      <c r="B97" s="45"/>
    </row>
    <row r="98" spans="1:9">
      <c r="A98" s="59"/>
      <c r="B98" s="45"/>
    </row>
    <row r="99" spans="1:9">
      <c r="A99" s="59"/>
      <c r="B99" s="45"/>
    </row>
    <row r="100" spans="1:9" ht="15.75">
      <c r="A100" s="59"/>
      <c r="B100" s="58"/>
      <c r="D100" s="171"/>
      <c r="E100" s="171"/>
      <c r="F100" s="171"/>
      <c r="G100" s="171"/>
      <c r="H100" s="171"/>
      <c r="I100" s="171"/>
    </row>
    <row r="101" spans="1:9" ht="15.75">
      <c r="B101" s="58"/>
      <c r="D101" s="171"/>
      <c r="E101" s="171"/>
      <c r="F101" s="171"/>
      <c r="G101" s="171"/>
      <c r="H101" s="171"/>
      <c r="I101" s="171"/>
    </row>
    <row r="102" spans="1:9">
      <c r="D102" s="59"/>
      <c r="E102" s="59"/>
    </row>
    <row r="103" spans="1:9">
      <c r="D103" s="17"/>
      <c r="E103" s="17"/>
    </row>
    <row r="104" spans="1:9">
      <c r="D104" s="17"/>
      <c r="E104" s="17"/>
    </row>
    <row r="105" spans="1:9">
      <c r="D105" s="17"/>
      <c r="E105" s="17"/>
    </row>
    <row r="106" spans="1:9">
      <c r="D106" s="17"/>
      <c r="E106" s="17"/>
    </row>
    <row r="107" spans="1:9">
      <c r="D107" s="17"/>
      <c r="E107" s="17"/>
    </row>
    <row r="108" spans="1:9">
      <c r="D108" s="17"/>
      <c r="E108" s="17"/>
    </row>
    <row r="109" spans="1:9">
      <c r="D109" s="17"/>
      <c r="E109" s="17"/>
    </row>
    <row r="110" spans="1:9">
      <c r="D110" s="17"/>
      <c r="E110" s="17"/>
    </row>
    <row r="111" spans="1:9">
      <c r="D111" s="17"/>
      <c r="E111" s="17"/>
    </row>
    <row r="112" spans="1:9">
      <c r="D112" s="17"/>
      <c r="E112" s="17"/>
    </row>
    <row r="113" spans="2:5">
      <c r="B113" s="45"/>
      <c r="D113" s="17"/>
      <c r="E113" s="17"/>
    </row>
    <row r="114" spans="2:5">
      <c r="D114" s="17"/>
      <c r="E114" s="17"/>
    </row>
    <row r="115" spans="2:5">
      <c r="B115" s="45"/>
      <c r="D115" s="17"/>
      <c r="E115" s="17"/>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A7496-34DA-49DE-9CE7-15706851DE1C}">
  <dimension ref="A3:I120"/>
  <sheetViews>
    <sheetView zoomScale="70" zoomScaleNormal="70" zoomScaleSheetLayoutView="50" workbookViewId="0">
      <selection activeCell="B6" sqref="B6"/>
    </sheetView>
  </sheetViews>
  <sheetFormatPr defaultRowHeight="12.75"/>
  <cols>
    <col min="1" max="1" width="5.140625" customWidth="1"/>
    <col min="2" max="2" width="30.28515625" customWidth="1"/>
    <col min="3" max="3" width="60.5703125" bestFit="1" customWidth="1"/>
    <col min="4" max="4" width="22.7109375" customWidth="1"/>
    <col min="5" max="5" width="28.7109375" customWidth="1"/>
    <col min="6" max="6" width="24.28515625" customWidth="1"/>
    <col min="7" max="7" width="24" bestFit="1" customWidth="1"/>
    <col min="8" max="8" width="24" customWidth="1"/>
    <col min="9" max="9" width="142" customWidth="1"/>
  </cols>
  <sheetData>
    <row r="3" spans="1:9" ht="18">
      <c r="B3" s="894" t="s">
        <v>0</v>
      </c>
      <c r="C3" s="894"/>
      <c r="D3" s="894"/>
      <c r="E3" s="894"/>
      <c r="F3" s="894"/>
      <c r="G3" s="894"/>
      <c r="H3" s="894"/>
      <c r="I3" s="894"/>
    </row>
    <row r="4" spans="1:9" ht="18">
      <c r="B4" s="894" t="s">
        <v>1</v>
      </c>
      <c r="C4" s="894"/>
      <c r="D4" s="894"/>
      <c r="E4" s="894"/>
      <c r="F4" s="894"/>
      <c r="G4" s="894"/>
      <c r="H4" s="894"/>
      <c r="I4" s="894"/>
    </row>
    <row r="5" spans="1:9" ht="18">
      <c r="B5" s="894" t="s">
        <v>398</v>
      </c>
      <c r="C5" s="894"/>
      <c r="D5" s="894"/>
      <c r="E5" s="894"/>
      <c r="F5" s="894"/>
      <c r="G5" s="894"/>
      <c r="H5" s="894"/>
      <c r="I5" s="894"/>
    </row>
    <row r="6" spans="1:9" ht="15">
      <c r="B6" s="883" t="s">
        <v>1034</v>
      </c>
      <c r="C6" s="45"/>
      <c r="D6" s="45"/>
      <c r="E6" s="45"/>
      <c r="F6" s="45"/>
      <c r="G6" s="45"/>
      <c r="H6" s="45"/>
      <c r="I6" s="45"/>
    </row>
    <row r="7" spans="1:9" ht="18">
      <c r="B7" s="178"/>
      <c r="C7" s="1"/>
      <c r="D7" s="153" t="s">
        <v>254</v>
      </c>
      <c r="E7" s="153"/>
      <c r="F7" s="45"/>
      <c r="G7" s="153"/>
      <c r="H7" s="153"/>
      <c r="I7" s="45"/>
    </row>
    <row r="8" spans="1:9" ht="18">
      <c r="B8" s="154"/>
      <c r="C8" s="45"/>
      <c r="D8" s="153" t="s">
        <v>56</v>
      </c>
      <c r="E8" s="153" t="s">
        <v>255</v>
      </c>
      <c r="F8" s="153" t="s">
        <v>256</v>
      </c>
      <c r="G8" s="153"/>
      <c r="H8" s="153" t="s">
        <v>67</v>
      </c>
      <c r="I8" s="627"/>
    </row>
    <row r="9" spans="1:9" ht="18">
      <c r="B9" s="154"/>
      <c r="C9" s="45"/>
      <c r="D9" s="153" t="s">
        <v>257</v>
      </c>
      <c r="E9" s="153" t="s">
        <v>257</v>
      </c>
      <c r="F9" s="153" t="s">
        <v>257</v>
      </c>
      <c r="G9" s="153"/>
      <c r="H9" s="153" t="s">
        <v>258</v>
      </c>
      <c r="I9" s="628"/>
    </row>
    <row r="10" spans="1:9" ht="25.5">
      <c r="B10" s="346"/>
      <c r="C10" s="343"/>
      <c r="D10" s="343"/>
      <c r="E10" s="343"/>
      <c r="F10" s="343"/>
      <c r="G10" s="343"/>
      <c r="H10" s="343"/>
      <c r="I10" s="628"/>
    </row>
    <row r="11" spans="1:9" ht="15">
      <c r="B11" s="154"/>
      <c r="C11" s="45"/>
      <c r="D11" s="45"/>
      <c r="E11" s="45"/>
      <c r="F11" s="45"/>
      <c r="G11" s="45"/>
      <c r="H11" s="45"/>
      <c r="I11" s="45"/>
    </row>
    <row r="12" spans="1:9" ht="15.75">
      <c r="A12" s="398">
        <f>+A11+1</f>
        <v>1</v>
      </c>
      <c r="B12" s="154"/>
      <c r="C12" s="58" t="s">
        <v>270</v>
      </c>
      <c r="D12" s="156">
        <f>+E47</f>
        <v>0</v>
      </c>
      <c r="E12" s="156">
        <f>+F47</f>
        <v>0</v>
      </c>
      <c r="F12" s="156">
        <f>+G47</f>
        <v>0</v>
      </c>
      <c r="G12" s="156"/>
      <c r="H12" s="156"/>
      <c r="I12" s="91" t="str">
        <f>"(Line "&amp;A47&amp;")"</f>
        <v>(Line 26)</v>
      </c>
    </row>
    <row r="13" spans="1:9" ht="15.75">
      <c r="A13" s="398">
        <f>+A12+1</f>
        <v>2</v>
      </c>
      <c r="B13" s="154"/>
      <c r="C13" s="58" t="s">
        <v>260</v>
      </c>
      <c r="D13" s="156">
        <f>+E67</f>
        <v>0</v>
      </c>
      <c r="E13" s="156">
        <f>+F67</f>
        <v>0</v>
      </c>
      <c r="F13" s="156">
        <f>+G67</f>
        <v>0</v>
      </c>
      <c r="G13" s="156"/>
      <c r="H13" s="156"/>
      <c r="I13" s="91" t="str">
        <f>"(Line "&amp;A67&amp;")"</f>
        <v>(Line 29)</v>
      </c>
    </row>
    <row r="14" spans="1:9" ht="15.75">
      <c r="A14" s="398">
        <f>+A13+1</f>
        <v>3</v>
      </c>
      <c r="B14" s="154"/>
      <c r="C14" s="58" t="s">
        <v>315</v>
      </c>
      <c r="D14" s="452">
        <f>+E97</f>
        <v>0</v>
      </c>
      <c r="E14" s="452">
        <f>+F97</f>
        <v>0</v>
      </c>
      <c r="F14" s="452">
        <f>+G97</f>
        <v>0</v>
      </c>
      <c r="G14" s="156"/>
      <c r="H14" s="156"/>
      <c r="I14" s="91" t="str">
        <f>"(Line "&amp;A97&amp;")"</f>
        <v>(Line 37)</v>
      </c>
    </row>
    <row r="15" spans="1:9" ht="15.75">
      <c r="A15" s="398">
        <f>+A14+1</f>
        <v>4</v>
      </c>
      <c r="B15" s="154"/>
      <c r="C15" s="58" t="s">
        <v>90</v>
      </c>
      <c r="D15" s="156">
        <f>SUM(D12:D14)</f>
        <v>0</v>
      </c>
      <c r="E15" s="156">
        <f t="shared" ref="E15:F15" si="0">SUM(E12:E14)</f>
        <v>0</v>
      </c>
      <c r="F15" s="156">
        <f t="shared" si="0"/>
        <v>0</v>
      </c>
      <c r="G15" s="156"/>
      <c r="H15" s="156"/>
      <c r="I15" s="91" t="str">
        <f>"(Line "&amp;A12&amp;" + Line "&amp;A13&amp;" + Line "&amp;A14&amp;")"</f>
        <v>(Line 1 + Line 2 + Line 3)</v>
      </c>
    </row>
    <row r="16" spans="1:9" ht="15.75">
      <c r="A16" s="398">
        <f t="shared" ref="A16:A20" si="1">+A15+1</f>
        <v>5</v>
      </c>
      <c r="B16" s="154"/>
      <c r="C16" s="58" t="s">
        <v>12</v>
      </c>
      <c r="D16" s="45"/>
      <c r="E16" s="45"/>
      <c r="F16" s="461">
        <f>+'Appendix A'!H16</f>
        <v>0.12508709030780155</v>
      </c>
      <c r="G16" s="45"/>
      <c r="H16" s="45"/>
      <c r="I16" s="19" t="str">
        <f>"(Appendix A, Line "&amp;'Appendix A'!A16&amp;")"</f>
        <v>(Appendix A, Line 5)</v>
      </c>
    </row>
    <row r="17" spans="1:9" ht="15.75">
      <c r="A17" s="398">
        <f t="shared" si="1"/>
        <v>6</v>
      </c>
      <c r="B17" s="154"/>
      <c r="C17" s="58" t="s">
        <v>20</v>
      </c>
      <c r="D17" s="45"/>
      <c r="E17" s="461">
        <f>+'Appendix A'!H27</f>
        <v>0.26818076319772116</v>
      </c>
      <c r="F17" s="45"/>
      <c r="G17" s="45"/>
      <c r="H17" s="45"/>
      <c r="I17" s="19" t="str">
        <f>"(Appendix A, Line "&amp;'Appendix A'!A27&amp;")"</f>
        <v>(Appendix A, Line 12)</v>
      </c>
    </row>
    <row r="18" spans="1:9" ht="15.75">
      <c r="A18" s="398">
        <f>+A17+1</f>
        <v>7</v>
      </c>
      <c r="B18" s="154"/>
      <c r="C18" s="58" t="s">
        <v>262</v>
      </c>
      <c r="D18" s="342">
        <f>+D15</f>
        <v>0</v>
      </c>
      <c r="E18" s="342">
        <f>+E17*E15</f>
        <v>0</v>
      </c>
      <c r="F18" s="342">
        <f>+F16*F15</f>
        <v>0</v>
      </c>
      <c r="G18" s="342"/>
      <c r="H18" s="342">
        <f>+SUM(D18:G18)</f>
        <v>0</v>
      </c>
      <c r="I18" s="91" t="str">
        <f>"(Line "&amp;A15&amp;" * Line "&amp;A16&amp;" or Line "&amp;A17&amp;")"</f>
        <v>(Line 4 * Line 5 or Line 6)</v>
      </c>
    </row>
    <row r="19" spans="1:9" ht="15.75">
      <c r="A19" s="398">
        <f t="shared" si="1"/>
        <v>8</v>
      </c>
      <c r="B19" s="154"/>
      <c r="C19" s="58" t="s">
        <v>263</v>
      </c>
      <c r="D19" s="342">
        <v>0</v>
      </c>
      <c r="E19" s="342">
        <v>0</v>
      </c>
      <c r="F19" s="342">
        <v>0</v>
      </c>
      <c r="G19" s="342"/>
      <c r="H19" s="342">
        <f>+SUM(D19:G19)</f>
        <v>0</v>
      </c>
      <c r="I19" s="91" t="str">
        <f>"(Attachment 1C - ADIT Prior Year, Line "&amp;A18&amp;")"</f>
        <v>(Attachment 1C - ADIT Prior Year, Line 7)</v>
      </c>
    </row>
    <row r="20" spans="1:9" ht="15.75">
      <c r="A20" s="398">
        <f t="shared" si="1"/>
        <v>9</v>
      </c>
      <c r="B20" s="154"/>
      <c r="C20" s="58" t="s">
        <v>399</v>
      </c>
      <c r="D20" s="342">
        <f>(D18+D19)/2</f>
        <v>0</v>
      </c>
      <c r="E20" s="342">
        <f>(E18+E19)/2</f>
        <v>0</v>
      </c>
      <c r="F20" s="342">
        <f>(F18+F19)/2</f>
        <v>0</v>
      </c>
      <c r="G20" s="342"/>
      <c r="H20" s="342">
        <f>+SUM(D20:G20)</f>
        <v>0</v>
      </c>
      <c r="I20" s="91" t="str">
        <f>"(Average of Line "&amp;A18&amp;" + Line "&amp;A19&amp;")"</f>
        <v>(Average of Line 7 + Line 8)</v>
      </c>
    </row>
    <row r="21" spans="1:9" ht="15.75">
      <c r="A21" s="398">
        <f>+A20+1</f>
        <v>10</v>
      </c>
      <c r="B21" s="58"/>
      <c r="C21" s="58" t="s">
        <v>265</v>
      </c>
      <c r="D21" s="342"/>
      <c r="E21" s="342"/>
      <c r="F21" s="342"/>
      <c r="G21" s="342"/>
      <c r="H21" s="342">
        <v>0</v>
      </c>
      <c r="I21" s="19" t="str">
        <f>"(Attachment 1E, Line "&amp;'1E - ADIT True-Up Proration'!A27&amp;")"</f>
        <v>(Attachment 1E, Line 13)</v>
      </c>
    </row>
    <row r="22" spans="1:9" ht="15.75">
      <c r="A22" s="398">
        <f>+A21+1</f>
        <v>11</v>
      </c>
      <c r="B22" s="58"/>
      <c r="C22" s="58" t="s">
        <v>400</v>
      </c>
      <c r="D22" s="342"/>
      <c r="E22" s="342"/>
      <c r="F22" s="342"/>
      <c r="G22" s="342"/>
      <c r="H22" s="569">
        <f>+H20+H21</f>
        <v>0</v>
      </c>
      <c r="I22" s="45"/>
    </row>
    <row r="23" spans="1:9" ht="15.75">
      <c r="A23" s="398"/>
      <c r="B23" s="58"/>
      <c r="C23" s="58"/>
      <c r="D23" s="156"/>
      <c r="E23" s="45"/>
      <c r="F23" s="45"/>
      <c r="G23" s="45"/>
      <c r="H23" s="157"/>
      <c r="I23" s="45"/>
    </row>
    <row r="24" spans="1:9" ht="15">
      <c r="B24" s="45" t="s">
        <v>267</v>
      </c>
      <c r="C24" s="45"/>
      <c r="D24" s="45"/>
      <c r="E24" s="45"/>
      <c r="F24" s="45"/>
      <c r="G24" s="45"/>
      <c r="H24" s="45"/>
      <c r="I24" s="45"/>
    </row>
    <row r="25" spans="1:9" ht="15">
      <c r="B25" s="45"/>
      <c r="C25" s="45"/>
      <c r="D25" s="45"/>
      <c r="E25" s="45"/>
      <c r="F25" s="45"/>
      <c r="G25" s="45"/>
      <c r="H25" s="45"/>
      <c r="I25" s="45"/>
    </row>
    <row r="26" spans="1:9" ht="15">
      <c r="B26" s="154" t="s">
        <v>268</v>
      </c>
      <c r="C26" s="45"/>
      <c r="D26" s="45"/>
      <c r="E26" s="45"/>
      <c r="F26" s="45"/>
      <c r="G26" s="45"/>
      <c r="H26" s="45"/>
      <c r="I26" s="45"/>
    </row>
    <row r="27" spans="1:9" ht="15">
      <c r="B27" s="154" t="s">
        <v>269</v>
      </c>
      <c r="C27" s="45"/>
      <c r="D27" s="45"/>
      <c r="E27" s="45"/>
      <c r="F27" s="45"/>
      <c r="G27" s="45"/>
      <c r="H27" s="45"/>
      <c r="I27" s="45"/>
    </row>
    <row r="28" spans="1:9" ht="15">
      <c r="B28" s="154"/>
      <c r="C28" s="45"/>
      <c r="D28" s="45"/>
      <c r="E28" s="45"/>
      <c r="F28" s="45"/>
      <c r="G28" s="155"/>
      <c r="H28" s="155"/>
      <c r="I28" s="45"/>
    </row>
    <row r="29" spans="1:9" ht="15.75">
      <c r="B29" s="159" t="s">
        <v>207</v>
      </c>
      <c r="C29" s="159" t="s">
        <v>209</v>
      </c>
      <c r="D29" s="159" t="s">
        <v>211</v>
      </c>
      <c r="E29" s="159" t="s">
        <v>213</v>
      </c>
      <c r="F29" s="159" t="s">
        <v>215</v>
      </c>
      <c r="G29" s="159" t="s">
        <v>217</v>
      </c>
      <c r="H29" s="159"/>
      <c r="I29" s="159" t="s">
        <v>219</v>
      </c>
    </row>
    <row r="30" spans="1:9" ht="15">
      <c r="B30" s="154"/>
      <c r="C30" s="153" t="s">
        <v>67</v>
      </c>
      <c r="D30" s="153"/>
      <c r="E30" s="153" t="s">
        <v>254</v>
      </c>
      <c r="F30" s="153"/>
      <c r="G30" s="153"/>
      <c r="H30" s="153"/>
      <c r="I30" s="45"/>
    </row>
    <row r="31" spans="1:9" ht="15">
      <c r="B31" s="160" t="s">
        <v>270</v>
      </c>
      <c r="C31" s="153"/>
      <c r="D31" s="153"/>
      <c r="E31" s="153" t="s">
        <v>56</v>
      </c>
      <c r="F31" s="153" t="s">
        <v>255</v>
      </c>
      <c r="G31" s="153" t="s">
        <v>256</v>
      </c>
      <c r="H31" s="153"/>
      <c r="I31" s="45"/>
    </row>
    <row r="32" spans="1:9" ht="15.75" thickBot="1">
      <c r="B32" s="154"/>
      <c r="C32" s="153"/>
      <c r="D32" s="153" t="s">
        <v>271</v>
      </c>
      <c r="E32" s="153" t="s">
        <v>257</v>
      </c>
      <c r="F32" s="153" t="s">
        <v>257</v>
      </c>
      <c r="G32" s="153" t="s">
        <v>257</v>
      </c>
      <c r="H32" s="446"/>
      <c r="I32" s="153" t="s">
        <v>272</v>
      </c>
    </row>
    <row r="33" spans="1:9" ht="27.6" customHeight="1">
      <c r="A33" s="398">
        <f>+A22+1</f>
        <v>12</v>
      </c>
      <c r="B33" s="332" t="s">
        <v>273</v>
      </c>
      <c r="C33" s="548">
        <v>0</v>
      </c>
      <c r="D33" s="549">
        <v>0</v>
      </c>
      <c r="E33" s="549">
        <v>0</v>
      </c>
      <c r="F33" s="549">
        <v>0</v>
      </c>
      <c r="G33" s="549">
        <f>+C33</f>
        <v>0</v>
      </c>
      <c r="H33" s="686"/>
      <c r="I33" s="407" t="s">
        <v>274</v>
      </c>
    </row>
    <row r="34" spans="1:9" ht="30.6" customHeight="1">
      <c r="A34" s="398">
        <f>+A33+1</f>
        <v>13</v>
      </c>
      <c r="B34" s="333" t="s">
        <v>275</v>
      </c>
      <c r="C34" s="550">
        <v>0</v>
      </c>
      <c r="D34" s="551">
        <v>0</v>
      </c>
      <c r="E34" s="551">
        <v>0</v>
      </c>
      <c r="F34" s="551">
        <v>0</v>
      </c>
      <c r="G34" s="551">
        <v>0</v>
      </c>
      <c r="H34" s="687"/>
      <c r="I34" s="407" t="s">
        <v>276</v>
      </c>
    </row>
    <row r="35" spans="1:9" ht="32.450000000000003" customHeight="1">
      <c r="A35" s="398">
        <f t="shared" ref="A35:A46" si="2">+A34+1</f>
        <v>14</v>
      </c>
      <c r="B35" s="333" t="s">
        <v>277</v>
      </c>
      <c r="C35" s="550">
        <v>0</v>
      </c>
      <c r="D35" s="551">
        <v>0</v>
      </c>
      <c r="E35" s="551">
        <v>0</v>
      </c>
      <c r="F35" s="551">
        <v>0</v>
      </c>
      <c r="G35" s="551">
        <v>0</v>
      </c>
      <c r="H35" s="687"/>
      <c r="I35" s="407" t="s">
        <v>274</v>
      </c>
    </row>
    <row r="36" spans="1:9" ht="40.15" customHeight="1">
      <c r="A36" s="398">
        <f t="shared" si="2"/>
        <v>15</v>
      </c>
      <c r="B36" s="503" t="s">
        <v>278</v>
      </c>
      <c r="C36" s="550">
        <v>0</v>
      </c>
      <c r="D36" s="551">
        <v>0</v>
      </c>
      <c r="E36" s="551">
        <v>0</v>
      </c>
      <c r="F36" s="551">
        <v>0</v>
      </c>
      <c r="G36" s="551">
        <v>0</v>
      </c>
      <c r="H36" s="687"/>
      <c r="I36" s="405" t="s">
        <v>279</v>
      </c>
    </row>
    <row r="37" spans="1:9" ht="24.75" customHeight="1">
      <c r="A37" s="398">
        <f t="shared" si="2"/>
        <v>16</v>
      </c>
      <c r="B37" s="333" t="s">
        <v>280</v>
      </c>
      <c r="C37" s="550">
        <v>0</v>
      </c>
      <c r="D37" s="551">
        <v>0</v>
      </c>
      <c r="E37" s="551">
        <v>0</v>
      </c>
      <c r="F37" s="551">
        <v>0</v>
      </c>
      <c r="G37" s="551">
        <v>0</v>
      </c>
      <c r="H37" s="687"/>
      <c r="I37" s="407" t="s">
        <v>281</v>
      </c>
    </row>
    <row r="38" spans="1:9" ht="37.9" customHeight="1">
      <c r="A38" s="398">
        <f t="shared" si="2"/>
        <v>17</v>
      </c>
      <c r="B38" s="333" t="s">
        <v>282</v>
      </c>
      <c r="C38" s="550">
        <v>0</v>
      </c>
      <c r="D38" s="551">
        <v>0</v>
      </c>
      <c r="E38" s="551">
        <v>0</v>
      </c>
      <c r="F38" s="551">
        <v>0</v>
      </c>
      <c r="G38" s="551">
        <v>0</v>
      </c>
      <c r="H38" s="687"/>
      <c r="I38" s="407" t="s">
        <v>386</v>
      </c>
    </row>
    <row r="39" spans="1:9" ht="31.9" customHeight="1">
      <c r="A39" s="398">
        <f t="shared" si="2"/>
        <v>18</v>
      </c>
      <c r="B39" s="333" t="s">
        <v>284</v>
      </c>
      <c r="C39" s="550">
        <v>0</v>
      </c>
      <c r="D39" s="551">
        <v>0</v>
      </c>
      <c r="E39" s="551">
        <v>0</v>
      </c>
      <c r="F39" s="551">
        <v>0</v>
      </c>
      <c r="G39" s="551">
        <v>0</v>
      </c>
      <c r="H39" s="687"/>
      <c r="I39" s="407" t="s">
        <v>285</v>
      </c>
    </row>
    <row r="40" spans="1:9" ht="37.15" customHeight="1">
      <c r="A40" s="398">
        <f t="shared" si="2"/>
        <v>19</v>
      </c>
      <c r="B40" s="333" t="s">
        <v>286</v>
      </c>
      <c r="C40" s="550">
        <v>0</v>
      </c>
      <c r="D40" s="551">
        <v>0</v>
      </c>
      <c r="E40" s="551">
        <v>0</v>
      </c>
      <c r="F40" s="551">
        <v>0</v>
      </c>
      <c r="G40" s="551">
        <v>0</v>
      </c>
      <c r="H40" s="687"/>
      <c r="I40" s="407" t="s">
        <v>287</v>
      </c>
    </row>
    <row r="41" spans="1:9" ht="24.6" customHeight="1">
      <c r="A41" s="398">
        <f t="shared" si="2"/>
        <v>20</v>
      </c>
      <c r="B41" s="333" t="s">
        <v>288</v>
      </c>
      <c r="C41" s="550">
        <v>0</v>
      </c>
      <c r="D41" s="551">
        <v>0</v>
      </c>
      <c r="E41" s="551">
        <v>0</v>
      </c>
      <c r="F41" s="551">
        <v>0</v>
      </c>
      <c r="G41" s="551">
        <v>0</v>
      </c>
      <c r="H41" s="687"/>
      <c r="I41" s="407" t="s">
        <v>289</v>
      </c>
    </row>
    <row r="42" spans="1:9" ht="24.6" customHeight="1">
      <c r="A42" s="398">
        <f t="shared" si="2"/>
        <v>21</v>
      </c>
      <c r="B42" s="333" t="s">
        <v>290</v>
      </c>
      <c r="C42" s="550">
        <v>0</v>
      </c>
      <c r="D42" s="551">
        <v>0</v>
      </c>
      <c r="E42" s="551">
        <v>0</v>
      </c>
      <c r="F42" s="551">
        <v>0</v>
      </c>
      <c r="G42" s="551">
        <v>0</v>
      </c>
      <c r="H42" s="687"/>
      <c r="I42" s="407" t="s">
        <v>291</v>
      </c>
    </row>
    <row r="43" spans="1:9" ht="39.6" customHeight="1">
      <c r="A43" s="398">
        <f t="shared" si="2"/>
        <v>22</v>
      </c>
      <c r="B43" s="333" t="s">
        <v>292</v>
      </c>
      <c r="C43" s="550">
        <v>0</v>
      </c>
      <c r="D43" s="551">
        <v>0</v>
      </c>
      <c r="E43" s="551">
        <v>0</v>
      </c>
      <c r="F43" s="551">
        <v>0</v>
      </c>
      <c r="G43" s="551">
        <v>0</v>
      </c>
      <c r="H43" s="687"/>
      <c r="I43" s="407" t="s">
        <v>291</v>
      </c>
    </row>
    <row r="44" spans="1:9" ht="27" customHeight="1">
      <c r="A44" s="398">
        <f>+A43+1</f>
        <v>23</v>
      </c>
      <c r="B44" s="333" t="s">
        <v>294</v>
      </c>
      <c r="C44" s="552">
        <v>0</v>
      </c>
      <c r="D44" s="551">
        <v>0</v>
      </c>
      <c r="E44" s="551">
        <v>0</v>
      </c>
      <c r="F44" s="551">
        <v>0</v>
      </c>
      <c r="G44" s="551">
        <v>0</v>
      </c>
      <c r="H44" s="687"/>
      <c r="I44" s="335" t="s">
        <v>295</v>
      </c>
    </row>
    <row r="45" spans="1:9" ht="15.75">
      <c r="A45" s="398">
        <f t="shared" si="2"/>
        <v>24</v>
      </c>
      <c r="B45" s="334" t="s">
        <v>296</v>
      </c>
      <c r="C45" s="553">
        <f t="shared" ref="C45:G45" si="3">SUM(C33:C44)</f>
        <v>0</v>
      </c>
      <c r="D45" s="553">
        <f t="shared" si="3"/>
        <v>0</v>
      </c>
      <c r="E45" s="553">
        <f t="shared" si="3"/>
        <v>0</v>
      </c>
      <c r="F45" s="553">
        <f t="shared" si="3"/>
        <v>0</v>
      </c>
      <c r="G45" s="553">
        <f t="shared" si="3"/>
        <v>0</v>
      </c>
      <c r="H45" s="553"/>
      <c r="I45" s="161"/>
    </row>
    <row r="46" spans="1:9" ht="31.5">
      <c r="A46" s="398">
        <f t="shared" si="2"/>
        <v>25</v>
      </c>
      <c r="B46" s="464" t="s">
        <v>297</v>
      </c>
      <c r="C46" s="554">
        <f>SUM(D46:H46)</f>
        <v>0</v>
      </c>
      <c r="D46" s="554">
        <f>D36</f>
        <v>0</v>
      </c>
      <c r="E46" s="555">
        <f>+E36</f>
        <v>0</v>
      </c>
      <c r="F46" s="556">
        <f>F36</f>
        <v>0</v>
      </c>
      <c r="G46" s="556">
        <f>+G36</f>
        <v>0</v>
      </c>
      <c r="H46" s="556"/>
      <c r="I46" s="167" t="str">
        <f>+'1A - ADIT'!I44</f>
        <v>All FAS 109 items excluded from formula rate</v>
      </c>
    </row>
    <row r="47" spans="1:9" ht="16.5" thickBot="1">
      <c r="A47" s="398">
        <f>+A46+1</f>
        <v>26</v>
      </c>
      <c r="B47" s="330" t="s">
        <v>67</v>
      </c>
      <c r="C47" s="557">
        <f>+C45-C46</f>
        <v>0</v>
      </c>
      <c r="D47" s="557">
        <f t="shared" ref="D47:G47" si="4">+D45-D46</f>
        <v>0</v>
      </c>
      <c r="E47" s="557">
        <f t="shared" si="4"/>
        <v>0</v>
      </c>
      <c r="F47" s="557">
        <f t="shared" si="4"/>
        <v>0</v>
      </c>
      <c r="G47" s="557">
        <f t="shared" si="4"/>
        <v>0</v>
      </c>
      <c r="H47" s="557"/>
      <c r="I47" s="329"/>
    </row>
    <row r="48" spans="1:9" ht="15.75">
      <c r="A48" s="398"/>
      <c r="B48" s="58"/>
      <c r="C48" s="402"/>
      <c r="D48" s="403"/>
      <c r="E48" s="403"/>
      <c r="F48" s="403"/>
      <c r="G48" s="403"/>
      <c r="H48" s="403"/>
      <c r="I48" s="399"/>
    </row>
    <row r="49" spans="1:9" ht="15">
      <c r="B49" s="45" t="s">
        <v>299</v>
      </c>
      <c r="C49" s="45"/>
      <c r="D49" s="156"/>
      <c r="E49" s="467"/>
      <c r="F49" s="59"/>
      <c r="G49" s="45"/>
      <c r="H49" s="45"/>
      <c r="I49" s="468"/>
    </row>
    <row r="50" spans="1:9" ht="15">
      <c r="B50" s="891" t="s">
        <v>391</v>
      </c>
      <c r="C50" s="891"/>
      <c r="D50" s="891"/>
      <c r="E50" s="891"/>
      <c r="F50" s="891"/>
      <c r="G50" s="891"/>
      <c r="H50" s="891"/>
      <c r="I50" s="891"/>
    </row>
    <row r="51" spans="1:9" ht="15">
      <c r="B51" s="154" t="s">
        <v>301</v>
      </c>
      <c r="C51" s="45"/>
      <c r="D51" s="45"/>
      <c r="E51" s="45"/>
      <c r="F51" s="45"/>
      <c r="G51" s="59"/>
      <c r="H51" s="59"/>
      <c r="I51" s="59"/>
    </row>
    <row r="52" spans="1:9" ht="15">
      <c r="B52" s="154" t="s">
        <v>313</v>
      </c>
      <c r="C52" s="45"/>
      <c r="D52" s="45"/>
      <c r="E52" s="45"/>
      <c r="F52" s="45"/>
      <c r="G52" s="59"/>
      <c r="H52" s="59"/>
      <c r="I52" s="59"/>
    </row>
    <row r="53" spans="1:9" ht="15">
      <c r="B53" s="154" t="s">
        <v>392</v>
      </c>
      <c r="C53" s="45"/>
      <c r="D53" s="45"/>
      <c r="E53" s="45"/>
      <c r="F53" s="45"/>
      <c r="G53" s="59"/>
      <c r="H53" s="59"/>
      <c r="I53" s="59"/>
    </row>
    <row r="54" spans="1:9" ht="15" customHeight="1">
      <c r="B54" s="891" t="s">
        <v>304</v>
      </c>
      <c r="C54" s="891"/>
      <c r="D54" s="891"/>
      <c r="E54" s="891"/>
      <c r="F54" s="891"/>
      <c r="G54" s="891"/>
      <c r="H54" s="891"/>
      <c r="I54" s="891"/>
    </row>
    <row r="55" spans="1:9" ht="15">
      <c r="B55" s="154" t="s">
        <v>305</v>
      </c>
      <c r="C55" s="59"/>
      <c r="D55" s="469"/>
      <c r="E55" s="59"/>
      <c r="F55" s="59"/>
      <c r="G55" s="59"/>
      <c r="H55" s="59"/>
      <c r="I55" s="445"/>
    </row>
    <row r="56" spans="1:9" ht="15.75">
      <c r="B56" s="399"/>
      <c r="C56" s="399"/>
      <c r="D56" s="399"/>
      <c r="E56" s="399"/>
      <c r="F56" s="399"/>
      <c r="G56" s="399"/>
      <c r="H56" s="399"/>
      <c r="I56" s="399"/>
    </row>
    <row r="57" spans="1:9" ht="18">
      <c r="A57" s="151"/>
      <c r="B57" s="892" t="str">
        <f>+B3</f>
        <v>Dayton Power and Light</v>
      </c>
      <c r="C57" s="893"/>
      <c r="D57" s="893"/>
      <c r="E57" s="893"/>
      <c r="F57" s="893"/>
      <c r="G57" s="893"/>
      <c r="H57" s="893"/>
      <c r="I57" s="893"/>
    </row>
    <row r="58" spans="1:9" ht="18">
      <c r="A58" s="151"/>
      <c r="B58" s="892" t="str">
        <f>+B4</f>
        <v xml:space="preserve">ATTACHMENT H-15A </v>
      </c>
      <c r="C58" s="892"/>
      <c r="D58" s="892"/>
      <c r="E58" s="892"/>
      <c r="F58" s="892"/>
      <c r="G58" s="892"/>
      <c r="H58" s="892"/>
      <c r="I58" s="892"/>
    </row>
    <row r="59" spans="1:9" ht="18">
      <c r="A59" s="151"/>
      <c r="B59" s="892" t="str">
        <f>+B5</f>
        <v xml:space="preserve">Attachment 1D - Accumulated Deferred Income Taxes for Annual True-up - December 31, </v>
      </c>
      <c r="C59" s="892"/>
      <c r="D59" s="892"/>
      <c r="E59" s="892"/>
      <c r="F59" s="892"/>
      <c r="G59" s="892"/>
      <c r="H59" s="892"/>
      <c r="I59" s="892"/>
    </row>
    <row r="60" spans="1:9" ht="18">
      <c r="A60" s="45"/>
      <c r="B60" s="153"/>
      <c r="C60" s="45"/>
      <c r="D60" s="45"/>
      <c r="E60" s="45"/>
      <c r="F60" s="45"/>
      <c r="G60" s="45"/>
      <c r="H60" s="45"/>
      <c r="I60" s="627"/>
    </row>
    <row r="61" spans="1:9" ht="18">
      <c r="A61" s="45"/>
      <c r="B61" s="159" t="s">
        <v>207</v>
      </c>
      <c r="C61" s="159" t="s">
        <v>209</v>
      </c>
      <c r="D61" s="159" t="s">
        <v>211</v>
      </c>
      <c r="E61" s="159" t="s">
        <v>213</v>
      </c>
      <c r="F61" s="159" t="s">
        <v>215</v>
      </c>
      <c r="G61" s="159" t="s">
        <v>217</v>
      </c>
      <c r="H61" s="159"/>
      <c r="I61" s="628"/>
    </row>
    <row r="62" spans="1:9" ht="18">
      <c r="A62" s="45"/>
      <c r="B62" s="45"/>
      <c r="C62" s="153" t="s">
        <v>306</v>
      </c>
      <c r="D62" s="153"/>
      <c r="E62" s="153"/>
      <c r="F62" s="153"/>
      <c r="G62" s="153"/>
      <c r="H62" s="153"/>
      <c r="I62" s="628"/>
    </row>
    <row r="63" spans="1:9" ht="15.75">
      <c r="A63" s="45"/>
      <c r="B63" s="155" t="s">
        <v>307</v>
      </c>
      <c r="C63" s="153"/>
      <c r="D63" s="153"/>
      <c r="E63" s="153" t="s">
        <v>56</v>
      </c>
      <c r="F63" s="153" t="s">
        <v>255</v>
      </c>
      <c r="G63" s="153" t="s">
        <v>256</v>
      </c>
      <c r="H63" s="153"/>
      <c r="I63" s="159" t="s">
        <v>219</v>
      </c>
    </row>
    <row r="64" spans="1:9" ht="15.75" thickBot="1">
      <c r="A64" s="45"/>
      <c r="B64" s="154"/>
      <c r="C64" s="153"/>
      <c r="D64" s="153" t="s">
        <v>271</v>
      </c>
      <c r="E64" s="153" t="s">
        <v>257</v>
      </c>
      <c r="F64" s="153" t="s">
        <v>257</v>
      </c>
      <c r="G64" s="153" t="s">
        <v>257</v>
      </c>
      <c r="H64" s="446"/>
      <c r="I64" s="153" t="s">
        <v>272</v>
      </c>
    </row>
    <row r="65" spans="1:9" ht="30">
      <c r="A65" s="45">
        <f>+A47+1</f>
        <v>27</v>
      </c>
      <c r="B65" s="332" t="s">
        <v>308</v>
      </c>
      <c r="C65" s="558">
        <v>0</v>
      </c>
      <c r="D65" s="559">
        <v>0</v>
      </c>
      <c r="E65" s="560">
        <v>0</v>
      </c>
      <c r="F65" s="560">
        <v>0</v>
      </c>
      <c r="G65" s="560">
        <v>0</v>
      </c>
      <c r="H65" s="688"/>
      <c r="I65" s="505" t="str">
        <f>+'1C - ADIT Prior Year'!I59</f>
        <v>Tax and book differences resulting from accelerated tax depreciation .  Included in prorated amount</v>
      </c>
    </row>
    <row r="66" spans="1:9" ht="30">
      <c r="A66" s="45">
        <f>+A65+1</f>
        <v>28</v>
      </c>
      <c r="B66" s="333" t="s">
        <v>309</v>
      </c>
      <c r="C66" s="551">
        <v>0</v>
      </c>
      <c r="D66" s="561">
        <v>0</v>
      </c>
      <c r="E66" s="561">
        <v>0</v>
      </c>
      <c r="F66" s="561">
        <v>0</v>
      </c>
      <c r="G66" s="561">
        <v>0</v>
      </c>
      <c r="H66" s="687"/>
      <c r="I66" s="339" t="s">
        <v>310</v>
      </c>
    </row>
    <row r="67" spans="1:9" ht="16.5" thickBot="1">
      <c r="A67" s="45">
        <f>+A66+1</f>
        <v>29</v>
      </c>
      <c r="B67" s="330" t="s">
        <v>67</v>
      </c>
      <c r="C67" s="557">
        <f>+SUM(C65:C66)</f>
        <v>0</v>
      </c>
      <c r="D67" s="557">
        <f t="shared" ref="D67:G67" si="5">+SUM(D65:D66)</f>
        <v>0</v>
      </c>
      <c r="E67" s="557">
        <f t="shared" si="5"/>
        <v>0</v>
      </c>
      <c r="F67" s="557">
        <f t="shared" si="5"/>
        <v>0</v>
      </c>
      <c r="G67" s="557">
        <f t="shared" si="5"/>
        <v>0</v>
      </c>
      <c r="H67" s="557"/>
      <c r="I67" s="329"/>
    </row>
    <row r="68" spans="1:9" ht="15">
      <c r="A68" s="45"/>
      <c r="B68" s="45" t="s">
        <v>311</v>
      </c>
      <c r="C68" s="45"/>
      <c r="D68" s="45"/>
      <c r="E68" s="59"/>
      <c r="F68" s="467"/>
      <c r="G68" s="45"/>
      <c r="H68" s="45"/>
      <c r="I68" s="445"/>
    </row>
    <row r="69" spans="1:9" ht="15">
      <c r="A69" s="45"/>
      <c r="B69" s="154" t="s">
        <v>312</v>
      </c>
      <c r="C69" s="45"/>
      <c r="D69" s="45"/>
      <c r="E69" s="45"/>
      <c r="F69" s="45"/>
      <c r="G69" s="59"/>
      <c r="H69" s="59"/>
      <c r="I69" s="59"/>
    </row>
    <row r="70" spans="1:9" ht="15">
      <c r="A70" s="45"/>
      <c r="B70" s="154" t="s">
        <v>301</v>
      </c>
      <c r="C70" s="45"/>
      <c r="D70" s="45"/>
      <c r="E70" s="45"/>
      <c r="F70" s="45"/>
      <c r="G70" s="59"/>
      <c r="H70" s="59"/>
      <c r="I70" s="59"/>
    </row>
    <row r="71" spans="1:9" ht="15">
      <c r="A71" s="45"/>
      <c r="B71" s="154" t="s">
        <v>313</v>
      </c>
      <c r="C71" s="45"/>
      <c r="D71" s="45"/>
      <c r="E71" s="45"/>
      <c r="F71" s="45"/>
      <c r="G71" s="59"/>
      <c r="H71" s="59"/>
      <c r="I71" s="59"/>
    </row>
    <row r="72" spans="1:9" ht="15">
      <c r="A72" s="45"/>
      <c r="B72" s="154" t="s">
        <v>314</v>
      </c>
      <c r="C72" s="45"/>
      <c r="D72" s="45"/>
      <c r="E72" s="45"/>
      <c r="F72" s="45"/>
      <c r="G72" s="59"/>
      <c r="H72" s="59"/>
      <c r="I72" s="59"/>
    </row>
    <row r="73" spans="1:9" ht="15">
      <c r="A73" s="45"/>
      <c r="B73" s="891" t="s">
        <v>304</v>
      </c>
      <c r="C73" s="891"/>
      <c r="D73" s="891"/>
      <c r="E73" s="891"/>
      <c r="F73" s="891"/>
      <c r="G73" s="891"/>
      <c r="H73" s="891"/>
      <c r="I73" s="891"/>
    </row>
    <row r="74" spans="1:9" ht="15">
      <c r="A74" s="45"/>
      <c r="B74" s="154" t="s">
        <v>305</v>
      </c>
      <c r="C74" s="59"/>
      <c r="D74" s="469"/>
      <c r="E74" s="59"/>
      <c r="F74" s="59"/>
      <c r="G74" s="59"/>
      <c r="H74" s="59"/>
      <c r="I74" s="445"/>
    </row>
    <row r="75" spans="1:9" ht="15.75">
      <c r="A75" s="45"/>
      <c r="B75" s="393"/>
      <c r="C75" s="45"/>
      <c r="D75" s="45"/>
      <c r="E75" s="45"/>
      <c r="F75" s="59"/>
      <c r="G75" s="59"/>
      <c r="H75" s="59"/>
      <c r="I75" s="445"/>
    </row>
    <row r="76" spans="1:9" ht="15">
      <c r="A76" s="45"/>
      <c r="B76" s="154"/>
      <c r="C76" s="45"/>
      <c r="D76" s="45"/>
      <c r="E76" s="45"/>
      <c r="F76" s="59"/>
      <c r="G76" s="59"/>
      <c r="H76" s="59"/>
      <c r="I76" s="445"/>
    </row>
    <row r="77" spans="1:9" ht="15.75">
      <c r="A77" s="45"/>
      <c r="B77" s="159"/>
      <c r="C77" s="45"/>
      <c r="D77" s="45"/>
      <c r="E77" s="45"/>
      <c r="F77" s="45"/>
      <c r="G77" s="45"/>
      <c r="H77" s="45"/>
      <c r="I77" s="45"/>
    </row>
    <row r="78" spans="1:9" ht="18">
      <c r="B78" s="172" t="str">
        <f>B3</f>
        <v>Dayton Power and Light</v>
      </c>
      <c r="C78" s="173"/>
      <c r="D78" s="173"/>
      <c r="E78" s="173"/>
      <c r="F78" s="173"/>
      <c r="G78" s="173"/>
      <c r="H78" s="173"/>
      <c r="I78" s="173"/>
    </row>
    <row r="79" spans="1:9" ht="18">
      <c r="B79" s="892" t="str">
        <f>+'Appendix A'!A4</f>
        <v xml:space="preserve">ATTACHMENT H-15A </v>
      </c>
      <c r="C79" s="892"/>
      <c r="D79" s="892"/>
      <c r="E79" s="892"/>
      <c r="F79" s="892"/>
      <c r="G79" s="892"/>
      <c r="H79" s="892"/>
      <c r="I79" s="892"/>
    </row>
    <row r="80" spans="1:9" ht="18">
      <c r="B80" s="892" t="str">
        <f>+B5</f>
        <v xml:space="preserve">Attachment 1D - Accumulated Deferred Income Taxes for Annual True-up - December 31, </v>
      </c>
      <c r="C80" s="892"/>
      <c r="D80" s="892"/>
      <c r="E80" s="892"/>
      <c r="F80" s="892"/>
      <c r="G80" s="892"/>
      <c r="H80" s="892"/>
      <c r="I80" s="892"/>
    </row>
    <row r="81" spans="1:9" ht="18.75">
      <c r="B81" s="163"/>
      <c r="C81" s="151"/>
      <c r="D81" s="151"/>
      <c r="E81" s="151"/>
      <c r="F81" s="151"/>
      <c r="G81" s="149"/>
      <c r="H81" s="149"/>
      <c r="I81" s="164"/>
    </row>
    <row r="82" spans="1:9" ht="15.75">
      <c r="B82" s="154"/>
      <c r="C82" s="45"/>
      <c r="D82" s="45"/>
      <c r="E82" s="45"/>
      <c r="F82" s="45"/>
      <c r="G82" s="155"/>
      <c r="H82" s="155"/>
      <c r="I82" s="185"/>
    </row>
    <row r="83" spans="1:9" ht="15">
      <c r="B83" s="154"/>
      <c r="C83" s="45"/>
      <c r="D83" s="45"/>
      <c r="E83" s="45"/>
      <c r="F83" s="45"/>
      <c r="G83" s="155"/>
      <c r="H83" s="155"/>
      <c r="I83" s="445"/>
    </row>
    <row r="84" spans="1:9" ht="15.75">
      <c r="B84" s="159" t="s">
        <v>207</v>
      </c>
      <c r="C84" s="159" t="s">
        <v>209</v>
      </c>
      <c r="D84" s="159" t="s">
        <v>211</v>
      </c>
      <c r="E84" s="159" t="s">
        <v>213</v>
      </c>
      <c r="F84" s="159" t="s">
        <v>215</v>
      </c>
      <c r="G84" s="159" t="s">
        <v>217</v>
      </c>
      <c r="H84" s="159"/>
      <c r="I84" s="159" t="s">
        <v>219</v>
      </c>
    </row>
    <row r="85" spans="1:9" ht="31.5">
      <c r="B85" s="155" t="s">
        <v>315</v>
      </c>
      <c r="C85" s="153" t="s">
        <v>67</v>
      </c>
      <c r="D85" s="165" t="s">
        <v>271</v>
      </c>
      <c r="E85" s="165" t="s">
        <v>401</v>
      </c>
      <c r="F85" s="165" t="s">
        <v>255</v>
      </c>
      <c r="G85" s="165" t="s">
        <v>256</v>
      </c>
      <c r="H85" s="153"/>
      <c r="I85" s="153" t="s">
        <v>272</v>
      </c>
    </row>
    <row r="86" spans="1:9" ht="15.75" thickBot="1">
      <c r="B86" s="154"/>
      <c r="C86" s="153"/>
      <c r="D86" s="153"/>
      <c r="E86" s="153"/>
      <c r="F86" s="153"/>
      <c r="G86" s="153"/>
      <c r="H86" s="446"/>
      <c r="I86" s="45"/>
    </row>
    <row r="87" spans="1:9" ht="15">
      <c r="A87" s="398">
        <f>+A47+1</f>
        <v>27</v>
      </c>
      <c r="B87" s="332" t="s">
        <v>316</v>
      </c>
      <c r="C87" s="549">
        <v>0</v>
      </c>
      <c r="D87" s="549">
        <v>0</v>
      </c>
      <c r="E87" s="549">
        <v>0</v>
      </c>
      <c r="F87" s="549">
        <v>0</v>
      </c>
      <c r="G87" s="549">
        <v>0</v>
      </c>
      <c r="H87" s="688"/>
      <c r="I87" s="651" t="s">
        <v>317</v>
      </c>
    </row>
    <row r="88" spans="1:9" ht="15">
      <c r="A88" s="398">
        <f>+A87+1</f>
        <v>28</v>
      </c>
      <c r="B88" s="333" t="s">
        <v>318</v>
      </c>
      <c r="C88" s="551">
        <v>0</v>
      </c>
      <c r="D88" s="551">
        <v>0</v>
      </c>
      <c r="E88" s="551">
        <v>0</v>
      </c>
      <c r="F88" s="551">
        <f>+C88</f>
        <v>0</v>
      </c>
      <c r="G88" s="551">
        <v>0</v>
      </c>
      <c r="H88" s="687"/>
      <c r="I88" s="408" t="s">
        <v>319</v>
      </c>
    </row>
    <row r="89" spans="1:9" ht="30">
      <c r="A89" s="398">
        <f t="shared" ref="A89:A97" si="6">+A88+1</f>
        <v>29</v>
      </c>
      <c r="B89" s="333" t="s">
        <v>320</v>
      </c>
      <c r="C89" s="551">
        <v>0</v>
      </c>
      <c r="D89" s="551">
        <f>+C89</f>
        <v>0</v>
      </c>
      <c r="E89" s="551">
        <v>0</v>
      </c>
      <c r="F89" s="551">
        <v>0</v>
      </c>
      <c r="G89" s="551">
        <v>0</v>
      </c>
      <c r="H89" s="687"/>
      <c r="I89" s="408" t="s">
        <v>321</v>
      </c>
    </row>
    <row r="90" spans="1:9" ht="37.5" customHeight="1">
      <c r="A90" s="398">
        <f t="shared" si="6"/>
        <v>30</v>
      </c>
      <c r="B90" s="333" t="s">
        <v>322</v>
      </c>
      <c r="C90" s="551">
        <v>0</v>
      </c>
      <c r="D90" s="551">
        <f>+C90</f>
        <v>0</v>
      </c>
      <c r="E90" s="551">
        <v>0</v>
      </c>
      <c r="F90" s="551">
        <v>0</v>
      </c>
      <c r="G90" s="551">
        <v>0</v>
      </c>
      <c r="H90" s="687"/>
      <c r="I90" s="408" t="s">
        <v>323</v>
      </c>
    </row>
    <row r="91" spans="1:9" ht="15">
      <c r="A91" s="398">
        <f t="shared" si="6"/>
        <v>31</v>
      </c>
      <c r="B91" s="333" t="s">
        <v>324</v>
      </c>
      <c r="C91" s="551">
        <v>0</v>
      </c>
      <c r="D91" s="551">
        <v>0</v>
      </c>
      <c r="E91" s="551">
        <v>0</v>
      </c>
      <c r="F91" s="551">
        <f>+C91</f>
        <v>0</v>
      </c>
      <c r="G91" s="551">
        <v>0</v>
      </c>
      <c r="H91" s="687"/>
      <c r="I91" s="404" t="s">
        <v>279</v>
      </c>
    </row>
    <row r="92" spans="1:9" ht="15">
      <c r="A92" s="398">
        <f t="shared" si="6"/>
        <v>32</v>
      </c>
      <c r="B92" s="333" t="s">
        <v>325</v>
      </c>
      <c r="C92" s="551">
        <v>0</v>
      </c>
      <c r="D92" s="551">
        <v>0</v>
      </c>
      <c r="E92" s="551">
        <v>0</v>
      </c>
      <c r="F92" s="551">
        <v>0</v>
      </c>
      <c r="G92" s="551">
        <f>+C92</f>
        <v>0</v>
      </c>
      <c r="H92" s="687"/>
      <c r="I92" s="408" t="s">
        <v>326</v>
      </c>
    </row>
    <row r="93" spans="1:9" ht="15.75" thickBot="1">
      <c r="A93" s="398">
        <f t="shared" si="6"/>
        <v>33</v>
      </c>
      <c r="B93" s="333" t="s">
        <v>294</v>
      </c>
      <c r="C93" s="551">
        <v>0</v>
      </c>
      <c r="D93" s="551">
        <f>+C93</f>
        <v>0</v>
      </c>
      <c r="E93" s="551">
        <v>0</v>
      </c>
      <c r="F93" s="551">
        <v>0</v>
      </c>
      <c r="G93" s="551">
        <v>0</v>
      </c>
      <c r="H93" s="687"/>
      <c r="I93" s="408"/>
    </row>
    <row r="94" spans="1:9" ht="15.75">
      <c r="A94" s="398">
        <f t="shared" si="6"/>
        <v>34</v>
      </c>
      <c r="B94" s="174" t="s">
        <v>328</v>
      </c>
      <c r="C94" s="562">
        <f t="shared" ref="C94:G94" si="7">SUM(C87:C93)</f>
        <v>0</v>
      </c>
      <c r="D94" s="562">
        <f>SUM(D87:D93)</f>
        <v>0</v>
      </c>
      <c r="E94" s="562">
        <f t="shared" si="7"/>
        <v>0</v>
      </c>
      <c r="F94" s="562">
        <f>SUM(F87:F93)</f>
        <v>0</v>
      </c>
      <c r="G94" s="562">
        <f t="shared" si="7"/>
        <v>0</v>
      </c>
      <c r="H94" s="562"/>
      <c r="I94" s="175"/>
    </row>
    <row r="95" spans="1:9" ht="31.5">
      <c r="A95" s="398">
        <f t="shared" si="6"/>
        <v>35</v>
      </c>
      <c r="B95" s="465" t="s">
        <v>329</v>
      </c>
      <c r="C95" s="554">
        <f>+C91</f>
        <v>0</v>
      </c>
      <c r="D95" s="554">
        <f t="shared" ref="D95:G95" si="8">+D91</f>
        <v>0</v>
      </c>
      <c r="E95" s="554">
        <f t="shared" si="8"/>
        <v>0</v>
      </c>
      <c r="F95" s="554">
        <f t="shared" si="8"/>
        <v>0</v>
      </c>
      <c r="G95" s="554">
        <f t="shared" si="8"/>
        <v>0</v>
      </c>
      <c r="H95" s="567"/>
      <c r="I95" s="167"/>
    </row>
    <row r="96" spans="1:9" ht="31.5">
      <c r="A96" s="398">
        <f t="shared" si="6"/>
        <v>36</v>
      </c>
      <c r="B96" s="466" t="s">
        <v>330</v>
      </c>
      <c r="C96" s="563">
        <f>+C88</f>
        <v>0</v>
      </c>
      <c r="D96" s="563">
        <f>+D88</f>
        <v>0</v>
      </c>
      <c r="E96" s="563">
        <f t="shared" ref="E96:G96" si="9">+E88</f>
        <v>0</v>
      </c>
      <c r="F96" s="563">
        <f t="shared" si="9"/>
        <v>0</v>
      </c>
      <c r="G96" s="563">
        <f t="shared" si="9"/>
        <v>0</v>
      </c>
      <c r="H96" s="568"/>
      <c r="I96" s="395" t="s">
        <v>402</v>
      </c>
    </row>
    <row r="97" spans="1:9" ht="16.5" thickBot="1">
      <c r="A97" s="398">
        <f t="shared" si="6"/>
        <v>37</v>
      </c>
      <c r="B97" s="330" t="s">
        <v>67</v>
      </c>
      <c r="C97" s="557">
        <f>+C94-C95-C96</f>
        <v>0</v>
      </c>
      <c r="D97" s="557">
        <f t="shared" ref="D97:G97" si="10">+D94-D95-D96</f>
        <v>0</v>
      </c>
      <c r="E97" s="557">
        <f t="shared" si="10"/>
        <v>0</v>
      </c>
      <c r="F97" s="557">
        <f t="shared" si="10"/>
        <v>0</v>
      </c>
      <c r="G97" s="557">
        <f t="shared" si="10"/>
        <v>0</v>
      </c>
      <c r="H97" s="557"/>
      <c r="I97" s="329"/>
    </row>
    <row r="98" spans="1:9" ht="15">
      <c r="B98" s="154"/>
      <c r="C98" s="156"/>
      <c r="D98" s="156"/>
      <c r="E98" s="156"/>
      <c r="F98" s="156"/>
      <c r="G98" s="156"/>
      <c r="H98" s="156"/>
      <c r="I98" s="445"/>
    </row>
    <row r="99" spans="1:9" ht="15">
      <c r="B99" s="45" t="s">
        <v>332</v>
      </c>
      <c r="C99" s="45"/>
      <c r="D99" s="45"/>
      <c r="E99" s="59"/>
      <c r="F99" s="59"/>
      <c r="G99" s="45"/>
      <c r="H99" s="45"/>
      <c r="I99" s="168"/>
    </row>
    <row r="100" spans="1:9" ht="15">
      <c r="B100" s="154" t="str">
        <f>+'1A - ADIT'!B95</f>
        <v>1.  ADIT items related only to Non-Electric Operations or Production are directly assigned to Column C</v>
      </c>
      <c r="C100" s="45"/>
      <c r="D100" s="45"/>
      <c r="E100" s="45"/>
      <c r="F100" s="45"/>
      <c r="G100" s="59"/>
      <c r="H100" s="59"/>
      <c r="I100" s="59"/>
    </row>
    <row r="101" spans="1:9" ht="15">
      <c r="B101" s="154" t="s">
        <v>301</v>
      </c>
      <c r="C101" s="45"/>
      <c r="D101" s="45"/>
      <c r="E101" s="45"/>
      <c r="F101" s="45"/>
      <c r="G101" s="59"/>
      <c r="H101" s="59"/>
      <c r="I101" s="59"/>
    </row>
    <row r="102" spans="1:9" ht="15">
      <c r="B102" s="154" t="s">
        <v>313</v>
      </c>
      <c r="C102" s="45"/>
      <c r="D102" s="45"/>
      <c r="E102" s="45"/>
      <c r="F102" s="45"/>
      <c r="G102" s="59"/>
      <c r="H102" s="59"/>
      <c r="I102" s="59"/>
    </row>
    <row r="103" spans="1:9" ht="15">
      <c r="B103" s="154" t="s">
        <v>314</v>
      </c>
      <c r="C103" s="45"/>
      <c r="D103" s="45"/>
      <c r="E103" s="45"/>
      <c r="F103" s="45"/>
      <c r="G103" s="59"/>
      <c r="H103" s="59"/>
      <c r="I103" s="59"/>
    </row>
    <row r="104" spans="1:9" ht="15">
      <c r="B104" s="891" t="s">
        <v>304</v>
      </c>
      <c r="C104" s="891"/>
      <c r="D104" s="891"/>
      <c r="E104" s="891"/>
      <c r="F104" s="891"/>
      <c r="G104" s="891"/>
      <c r="H104" s="891"/>
      <c r="I104" s="891"/>
    </row>
    <row r="105" spans="1:9" ht="15">
      <c r="B105" s="154" t="s">
        <v>305</v>
      </c>
      <c r="C105" s="59"/>
      <c r="D105" s="469"/>
      <c r="E105" s="59"/>
      <c r="F105" s="59"/>
      <c r="G105" s="59"/>
      <c r="H105" s="59"/>
      <c r="I105" s="445"/>
    </row>
    <row r="106" spans="1:9" ht="15.75">
      <c r="B106" s="169"/>
      <c r="C106" s="170"/>
      <c r="D106" s="170"/>
      <c r="E106" s="170"/>
      <c r="F106" s="170"/>
      <c r="G106" s="170"/>
      <c r="H106" s="170"/>
      <c r="I106" s="170"/>
    </row>
    <row r="107" spans="1:9" ht="15.75">
      <c r="B107" s="890" t="s">
        <v>403</v>
      </c>
      <c r="C107" s="890"/>
      <c r="D107" s="890"/>
      <c r="E107" s="890"/>
      <c r="F107" s="890"/>
      <c r="G107" s="890"/>
      <c r="H107" s="890"/>
      <c r="I107" s="890"/>
    </row>
    <row r="108" spans="1:9" ht="15">
      <c r="B108" s="45" t="s">
        <v>404</v>
      </c>
      <c r="C108" s="45"/>
      <c r="D108" s="45"/>
      <c r="E108" s="45"/>
      <c r="F108" s="45"/>
      <c r="G108" s="45"/>
      <c r="H108" s="45"/>
      <c r="I108" s="45"/>
    </row>
    <row r="109" spans="1:9" ht="15">
      <c r="B109" s="45" t="s">
        <v>405</v>
      </c>
      <c r="C109" s="45"/>
      <c r="D109" s="45"/>
      <c r="E109" s="45"/>
      <c r="F109" s="45"/>
      <c r="G109" s="45"/>
      <c r="H109" s="45"/>
      <c r="I109" s="45"/>
    </row>
    <row r="110" spans="1:9" ht="15">
      <c r="B110" s="45" t="s">
        <v>406</v>
      </c>
      <c r="C110" s="45"/>
      <c r="D110" s="45"/>
      <c r="E110" s="45"/>
      <c r="F110" s="45"/>
      <c r="G110" s="45"/>
      <c r="H110" s="45"/>
      <c r="I110" s="45"/>
    </row>
    <row r="111" spans="1:9" ht="15.75">
      <c r="B111" s="45" t="s">
        <v>407</v>
      </c>
      <c r="C111" s="45"/>
      <c r="D111" s="171"/>
      <c r="E111" s="171"/>
      <c r="F111" s="171"/>
      <c r="G111" s="171"/>
      <c r="H111" s="171"/>
      <c r="I111" s="171"/>
    </row>
    <row r="112" spans="1:9" ht="15.75">
      <c r="B112" s="45" t="s">
        <v>408</v>
      </c>
      <c r="C112" s="45"/>
      <c r="D112" s="171"/>
      <c r="E112" s="171"/>
      <c r="F112" s="171"/>
      <c r="G112" s="171"/>
      <c r="H112" s="171"/>
      <c r="I112" s="171"/>
    </row>
    <row r="113" spans="2:9" ht="15">
      <c r="B113" s="154"/>
      <c r="C113" s="45"/>
      <c r="D113" s="59"/>
      <c r="E113" s="59"/>
      <c r="F113" s="45"/>
      <c r="G113" s="45"/>
      <c r="H113" s="45"/>
      <c r="I113" s="45"/>
    </row>
    <row r="114" spans="2:9" ht="15">
      <c r="B114" s="154"/>
      <c r="C114" s="45"/>
      <c r="D114" s="17"/>
      <c r="E114" s="17"/>
      <c r="F114" s="45"/>
      <c r="G114" s="45"/>
      <c r="H114" s="45"/>
      <c r="I114" s="45"/>
    </row>
    <row r="115" spans="2:9" ht="15">
      <c r="B115" s="154"/>
      <c r="C115" s="45"/>
      <c r="D115" s="17"/>
      <c r="E115" s="17"/>
      <c r="F115" s="45"/>
      <c r="G115" s="45"/>
      <c r="H115" s="45"/>
      <c r="I115" s="45"/>
    </row>
    <row r="116" spans="2:9" ht="15">
      <c r="B116" s="154"/>
      <c r="C116" s="45"/>
      <c r="D116" s="17"/>
      <c r="E116" s="17"/>
      <c r="F116" s="45"/>
      <c r="G116" s="45"/>
      <c r="H116" s="45"/>
      <c r="I116" s="45"/>
    </row>
    <row r="117" spans="2:9" ht="15">
      <c r="B117" s="154"/>
      <c r="C117" s="45"/>
      <c r="D117" s="17"/>
      <c r="E117" s="17"/>
      <c r="F117" s="45"/>
      <c r="G117" s="45"/>
      <c r="H117" s="45"/>
      <c r="I117" s="45"/>
    </row>
    <row r="118" spans="2:9" ht="15">
      <c r="B118" s="154"/>
      <c r="C118" s="45"/>
      <c r="D118" s="17"/>
      <c r="E118" s="17"/>
      <c r="F118" s="45"/>
      <c r="G118" s="45"/>
      <c r="H118" s="45"/>
      <c r="I118" s="45"/>
    </row>
    <row r="119" spans="2:9" ht="15">
      <c r="B119" s="154"/>
      <c r="C119" s="45"/>
      <c r="D119" s="17"/>
      <c r="E119" s="17"/>
      <c r="F119" s="45"/>
      <c r="G119" s="45"/>
      <c r="H119" s="45"/>
      <c r="I119" s="45"/>
    </row>
    <row r="120" spans="2:9" ht="15">
      <c r="B120" s="154"/>
      <c r="C120" s="45"/>
      <c r="D120" s="17"/>
      <c r="E120" s="17"/>
      <c r="F120" s="45"/>
      <c r="G120" s="45"/>
      <c r="H120" s="45"/>
      <c r="I120" s="45"/>
    </row>
  </sheetData>
  <mergeCells count="13">
    <mergeCell ref="B79:I79"/>
    <mergeCell ref="B80:I80"/>
    <mergeCell ref="B107:I107"/>
    <mergeCell ref="B3:I3"/>
    <mergeCell ref="B4:I4"/>
    <mergeCell ref="B5:I5"/>
    <mergeCell ref="B50:I50"/>
    <mergeCell ref="B54:I54"/>
    <mergeCell ref="B57:I57"/>
    <mergeCell ref="B58:I58"/>
    <mergeCell ref="B59:I59"/>
    <mergeCell ref="B73:I73"/>
    <mergeCell ref="B104:I104"/>
  </mergeCells>
  <phoneticPr fontId="109" type="noConversion"/>
  <pageMargins left="0.7" right="0.7" top="0.75" bottom="0.75" header="0.3" footer="0.3"/>
  <pageSetup scale="34" fitToHeight="2" orientation="landscape" verticalDpi="0" r:id="rId1"/>
  <rowBreaks count="1" manualBreakCount="1">
    <brk id="56" max="16383" man="1"/>
  </row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dimension ref="A2:W52"/>
  <sheetViews>
    <sheetView zoomScale="70" zoomScaleNormal="70" workbookViewId="0">
      <selection activeCell="B5" sqref="B5:D5"/>
    </sheetView>
  </sheetViews>
  <sheetFormatPr defaultRowHeight="12.75"/>
  <cols>
    <col min="1" max="1" width="6.28515625" customWidth="1"/>
    <col min="2" max="2" width="25.7109375" customWidth="1"/>
    <col min="3" max="3" width="13.28515625" customWidth="1"/>
    <col min="4" max="4" width="13.5703125" customWidth="1"/>
    <col min="5" max="5" width="15.28515625" customWidth="1"/>
    <col min="6" max="6" width="14.42578125" customWidth="1"/>
    <col min="7" max="7" width="13.42578125" customWidth="1"/>
    <col min="8" max="8" width="13.85546875" customWidth="1"/>
    <col min="9" max="9" width="15.28515625" customWidth="1"/>
    <col min="10" max="10" width="24.5703125" customWidth="1"/>
    <col min="11" max="11" width="4.7109375" customWidth="1"/>
    <col min="12" max="12" width="21.85546875" customWidth="1"/>
    <col min="13" max="13" width="16.7109375" customWidth="1"/>
    <col min="14" max="14" width="18.28515625" customWidth="1"/>
    <col min="15" max="15" width="19.7109375" customWidth="1"/>
    <col min="16" max="16" width="23.28515625" customWidth="1"/>
    <col min="17" max="17" width="26.28515625" customWidth="1"/>
    <col min="20" max="20" width="19.85546875" customWidth="1"/>
    <col min="21" max="21" width="18.28515625" bestFit="1" customWidth="1"/>
    <col min="23" max="23" width="18.28515625" bestFit="1" customWidth="1"/>
  </cols>
  <sheetData>
    <row r="2" spans="1:17" ht="18">
      <c r="I2" s="771" t="str">
        <f>+'Appendix A'!A3</f>
        <v>Dayton Power and Light</v>
      </c>
    </row>
    <row r="3" spans="1:17" ht="18">
      <c r="I3" s="771" t="str">
        <f>+'Appendix A'!A4</f>
        <v xml:space="preserve">ATTACHMENT H-15A </v>
      </c>
    </row>
    <row r="4" spans="1:17" ht="18">
      <c r="I4" s="178" t="s">
        <v>409</v>
      </c>
      <c r="J4" s="178"/>
      <c r="K4" s="178"/>
      <c r="L4" s="178"/>
      <c r="M4" s="178"/>
      <c r="N4" s="178"/>
      <c r="O4" s="178"/>
    </row>
    <row r="5" spans="1:17" ht="18">
      <c r="B5" s="828" t="s">
        <v>1035</v>
      </c>
      <c r="C5" s="828"/>
      <c r="D5" s="828"/>
      <c r="I5" s="771" t="s">
        <v>410</v>
      </c>
      <c r="Q5" s="627"/>
    </row>
    <row r="6" spans="1:17">
      <c r="I6" s="354"/>
    </row>
    <row r="7" spans="1:17" ht="15">
      <c r="A7" s="45"/>
      <c r="B7" s="45" t="s">
        <v>411</v>
      </c>
      <c r="C7" s="45"/>
      <c r="D7" s="45"/>
      <c r="E7" s="45"/>
      <c r="F7" s="45"/>
      <c r="G7" s="45"/>
      <c r="H7" s="45"/>
      <c r="I7" s="45"/>
      <c r="J7" s="45"/>
      <c r="K7" s="45"/>
      <c r="L7" s="45"/>
      <c r="M7" s="45"/>
      <c r="N7" s="45"/>
      <c r="O7" s="45"/>
      <c r="P7" s="45"/>
      <c r="Q7" s="45"/>
    </row>
    <row r="8" spans="1:17" ht="15">
      <c r="A8" s="45"/>
      <c r="B8" s="45"/>
      <c r="C8" s="45"/>
      <c r="D8" s="45"/>
      <c r="E8" s="45"/>
      <c r="F8" s="45"/>
      <c r="G8" s="45"/>
      <c r="H8" s="45"/>
      <c r="I8" s="45"/>
      <c r="J8" s="45"/>
      <c r="K8" s="45"/>
      <c r="L8" s="45"/>
      <c r="M8" s="45"/>
      <c r="N8" s="45"/>
      <c r="O8" s="45"/>
      <c r="P8" s="45"/>
      <c r="Q8" s="45"/>
    </row>
    <row r="10" spans="1:17" ht="15.75">
      <c r="A10" s="412"/>
      <c r="B10" s="413" t="s">
        <v>412</v>
      </c>
      <c r="C10" s="412"/>
      <c r="D10" s="412"/>
      <c r="E10" s="412"/>
      <c r="F10" s="412"/>
      <c r="G10" s="412"/>
      <c r="H10" s="412"/>
      <c r="I10" s="412"/>
      <c r="J10" s="412"/>
      <c r="K10" s="412"/>
      <c r="L10" s="413"/>
      <c r="M10" s="412"/>
      <c r="N10" s="412"/>
      <c r="O10" s="412"/>
      <c r="P10" s="412"/>
      <c r="Q10" s="412"/>
    </row>
    <row r="11" spans="1:17" ht="15.75">
      <c r="A11" s="412"/>
      <c r="B11" s="897" t="s">
        <v>413</v>
      </c>
      <c r="C11" s="898"/>
      <c r="D11" s="898"/>
      <c r="E11" s="898"/>
      <c r="F11" s="899"/>
      <c r="G11" s="414"/>
      <c r="H11" s="900" t="s">
        <v>414</v>
      </c>
      <c r="I11" s="901"/>
      <c r="J11" s="902"/>
      <c r="K11" s="415"/>
      <c r="L11" s="903" t="s">
        <v>415</v>
      </c>
      <c r="M11" s="904"/>
      <c r="N11" s="904"/>
      <c r="O11" s="904"/>
      <c r="P11" s="904"/>
      <c r="Q11" s="904"/>
    </row>
    <row r="12" spans="1:17" ht="15.75">
      <c r="A12" s="412"/>
      <c r="B12" s="416" t="s">
        <v>207</v>
      </c>
      <c r="C12" s="416" t="s">
        <v>209</v>
      </c>
      <c r="D12" s="416" t="s">
        <v>211</v>
      </c>
      <c r="E12" s="416" t="s">
        <v>213</v>
      </c>
      <c r="F12" s="416" t="s">
        <v>215</v>
      </c>
      <c r="G12" s="414"/>
      <c r="H12" s="416" t="s">
        <v>217</v>
      </c>
      <c r="I12" s="416" t="s">
        <v>219</v>
      </c>
      <c r="J12" s="416" t="s">
        <v>221</v>
      </c>
      <c r="K12" s="417"/>
      <c r="L12" s="418" t="s">
        <v>223</v>
      </c>
      <c r="M12" s="418" t="s">
        <v>225</v>
      </c>
      <c r="N12" s="418" t="s">
        <v>227</v>
      </c>
      <c r="O12" s="418" t="s">
        <v>229</v>
      </c>
      <c r="P12" s="418" t="s">
        <v>231</v>
      </c>
      <c r="Q12" s="418" t="s">
        <v>233</v>
      </c>
    </row>
    <row r="13" spans="1:17" ht="150">
      <c r="A13" s="412"/>
      <c r="B13" s="419" t="s">
        <v>416</v>
      </c>
      <c r="C13" s="419" t="s">
        <v>356</v>
      </c>
      <c r="D13" s="419" t="s">
        <v>417</v>
      </c>
      <c r="E13" s="419" t="s">
        <v>418</v>
      </c>
      <c r="F13" s="419" t="s">
        <v>419</v>
      </c>
      <c r="G13" s="420"/>
      <c r="H13" s="419" t="s">
        <v>420</v>
      </c>
      <c r="I13" s="419" t="s">
        <v>421</v>
      </c>
      <c r="J13" s="419" t="s">
        <v>422</v>
      </c>
      <c r="K13" s="420"/>
      <c r="L13" s="421" t="s">
        <v>423</v>
      </c>
      <c r="M13" s="421" t="s">
        <v>424</v>
      </c>
      <c r="N13" s="421" t="s">
        <v>425</v>
      </c>
      <c r="O13" s="421" t="s">
        <v>426</v>
      </c>
      <c r="P13" s="421" t="s">
        <v>427</v>
      </c>
      <c r="Q13" s="421" t="s">
        <v>428</v>
      </c>
    </row>
    <row r="14" spans="1:17" ht="15">
      <c r="A14" s="412"/>
      <c r="B14" s="412"/>
      <c r="C14" s="420"/>
      <c r="D14" s="420"/>
      <c r="E14" s="420"/>
      <c r="F14" s="420"/>
      <c r="G14" s="420"/>
      <c r="H14" s="420"/>
      <c r="I14" s="420"/>
      <c r="J14" s="420"/>
      <c r="K14" s="420"/>
      <c r="L14" s="422"/>
      <c r="M14" s="422"/>
      <c r="N14" s="422"/>
      <c r="O14" s="422"/>
      <c r="P14" s="422"/>
      <c r="Q14" s="422"/>
    </row>
    <row r="15" spans="1:17" ht="15">
      <c r="A15" s="412">
        <v>1</v>
      </c>
      <c r="B15" s="423" t="s">
        <v>429</v>
      </c>
      <c r="C15" s="424"/>
      <c r="D15" s="410"/>
      <c r="E15" s="410"/>
      <c r="F15" s="410"/>
      <c r="G15" s="410"/>
      <c r="H15" s="570"/>
      <c r="I15" s="570"/>
      <c r="J15" s="571">
        <v>0</v>
      </c>
      <c r="K15" s="572"/>
      <c r="L15" s="573" t="str">
        <f>+B15</f>
        <v>December 31st balance (FF1 274.2.b)</v>
      </c>
      <c r="M15" s="574"/>
      <c r="N15" s="574"/>
      <c r="O15" s="574"/>
      <c r="P15" s="574"/>
      <c r="Q15" s="575">
        <f>+J15</f>
        <v>0</v>
      </c>
    </row>
    <row r="16" spans="1:17" ht="15">
      <c r="A16" s="412">
        <f t="shared" ref="A16:A28" si="0">+A15+1</f>
        <v>2</v>
      </c>
      <c r="B16" s="424" t="s">
        <v>370</v>
      </c>
      <c r="C16" s="409">
        <v>31</v>
      </c>
      <c r="D16" s="410">
        <f t="shared" ref="D16:D26" si="1">D17+C17</f>
        <v>335</v>
      </c>
      <c r="E16" s="410">
        <f>SUM(C16:C27)</f>
        <v>365</v>
      </c>
      <c r="F16" s="43">
        <f>335/365</f>
        <v>0.9178082191780822</v>
      </c>
      <c r="G16" s="410"/>
      <c r="H16" s="825">
        <v>0</v>
      </c>
      <c r="I16" s="570">
        <f>+H16*F16</f>
        <v>0</v>
      </c>
      <c r="J16" s="570">
        <f t="shared" ref="J16:J18" si="2">+I16+J15</f>
        <v>0</v>
      </c>
      <c r="K16" s="572"/>
      <c r="L16" s="576">
        <f>+N34</f>
        <v>0</v>
      </c>
      <c r="M16" s="574">
        <f>L16-H16</f>
        <v>0</v>
      </c>
      <c r="N16" s="575">
        <f>IF(AND(H16&gt;=0,L16&gt;=0),IF(M16&gt;=0,I16,L16/H16*I16),IF(AND(H16&lt;0,L16&lt;0),IF(M16&lt;0,I16,L16/H16*I16),0))</f>
        <v>0</v>
      </c>
      <c r="O16" s="575">
        <f>IF(AND(H16&gt;=0,L16&gt;=0),IF(M16&gt;=0,M16,0),IF(AND(H16&lt;0,L16&lt;0),IF(M16&lt;0,M16,0),0))</f>
        <v>0</v>
      </c>
      <c r="P16" s="575">
        <f>IF(AND(H16&gt;=0,L16&lt;0),L16,IF(AND(H16&lt;0,L16&gt;=0),L16,0))</f>
        <v>0</v>
      </c>
      <c r="Q16" s="575">
        <f>Q15+N16+(O16+P16)*0.5</f>
        <v>0</v>
      </c>
    </row>
    <row r="17" spans="1:23" ht="15">
      <c r="A17" s="412">
        <f t="shared" si="0"/>
        <v>3</v>
      </c>
      <c r="B17" s="424" t="s">
        <v>371</v>
      </c>
      <c r="C17" s="411">
        <v>28</v>
      </c>
      <c r="D17" s="410">
        <f t="shared" si="1"/>
        <v>307</v>
      </c>
      <c r="E17" s="410">
        <f>E16</f>
        <v>365</v>
      </c>
      <c r="F17" s="43">
        <f>307/365</f>
        <v>0.84109589041095889</v>
      </c>
      <c r="G17" s="410"/>
      <c r="H17" s="825">
        <v>0</v>
      </c>
      <c r="I17" s="570">
        <f t="shared" ref="I17:I27" si="3">+H17*F17</f>
        <v>0</v>
      </c>
      <c r="J17" s="570">
        <f t="shared" si="2"/>
        <v>0</v>
      </c>
      <c r="K17" s="572"/>
      <c r="L17" s="576">
        <f t="shared" ref="L17:L27" si="4">+N35</f>
        <v>0</v>
      </c>
      <c r="M17" s="574">
        <f>L17-H17</f>
        <v>0</v>
      </c>
      <c r="N17" s="575">
        <f t="shared" ref="N17:N27" si="5">IF(AND(H17&gt;=0,L17&gt;=0),IF(M17&gt;=0,I17,L17/H17*I17),IF(AND(H17&lt;0,L17&lt;0),IF(M17&lt;0,I17,L17/H17*I17),0))</f>
        <v>0</v>
      </c>
      <c r="O17" s="575">
        <f t="shared" ref="O17:O27" si="6">IF(AND(H17&gt;=0,L17&gt;=0),IF(M17&gt;=0,M17,0),IF(AND(H17&lt;0,L17&lt;0),IF(M17&lt;0,M17,0),0))</f>
        <v>0</v>
      </c>
      <c r="P17" s="575">
        <f t="shared" ref="P17:P27" si="7">IF(AND(H17&gt;=0,L17&lt;0),L17,IF(AND(H17&lt;0,L17&gt;=0),L17,0))</f>
        <v>0</v>
      </c>
      <c r="Q17" s="575">
        <f>Q16+N17+(O17+P17)*0.5</f>
        <v>0</v>
      </c>
    </row>
    <row r="18" spans="1:23" ht="15">
      <c r="A18" s="412">
        <f t="shared" si="0"/>
        <v>4</v>
      </c>
      <c r="B18" s="424" t="s">
        <v>372</v>
      </c>
      <c r="C18" s="409">
        <v>31</v>
      </c>
      <c r="D18" s="410">
        <f t="shared" si="1"/>
        <v>276</v>
      </c>
      <c r="E18" s="410">
        <f t="shared" ref="E18:E27" si="8">E17</f>
        <v>365</v>
      </c>
      <c r="F18" s="43">
        <f>276/365</f>
        <v>0.75616438356164384</v>
      </c>
      <c r="G18" s="410"/>
      <c r="H18" s="825">
        <v>0</v>
      </c>
      <c r="I18" s="570">
        <f t="shared" si="3"/>
        <v>0</v>
      </c>
      <c r="J18" s="570">
        <f t="shared" si="2"/>
        <v>0</v>
      </c>
      <c r="K18" s="572"/>
      <c r="L18" s="576">
        <f t="shared" si="4"/>
        <v>0</v>
      </c>
      <c r="M18" s="574">
        <f t="shared" ref="M18:M27" si="9">L18-H18</f>
        <v>0</v>
      </c>
      <c r="N18" s="575">
        <f t="shared" si="5"/>
        <v>0</v>
      </c>
      <c r="O18" s="575">
        <f t="shared" si="6"/>
        <v>0</v>
      </c>
      <c r="P18" s="575">
        <f t="shared" si="7"/>
        <v>0</v>
      </c>
      <c r="Q18" s="575">
        <f>Q17+N18+(O18+P18)*0.5</f>
        <v>0</v>
      </c>
    </row>
    <row r="19" spans="1:23" ht="15">
      <c r="A19" s="412">
        <f t="shared" si="0"/>
        <v>5</v>
      </c>
      <c r="B19" s="424" t="s">
        <v>373</v>
      </c>
      <c r="C19" s="409">
        <v>30</v>
      </c>
      <c r="D19" s="410">
        <f t="shared" si="1"/>
        <v>246</v>
      </c>
      <c r="E19" s="410">
        <f t="shared" si="8"/>
        <v>365</v>
      </c>
      <c r="F19" s="43">
        <f>246/365</f>
        <v>0.67397260273972603</v>
      </c>
      <c r="G19" s="410"/>
      <c r="H19" s="825">
        <v>0</v>
      </c>
      <c r="I19" s="570">
        <f t="shared" si="3"/>
        <v>0</v>
      </c>
      <c r="J19" s="570">
        <f>+I19+J18</f>
        <v>0</v>
      </c>
      <c r="K19" s="572"/>
      <c r="L19" s="576">
        <f>+N37</f>
        <v>0</v>
      </c>
      <c r="M19" s="574">
        <f t="shared" si="9"/>
        <v>0</v>
      </c>
      <c r="N19" s="575">
        <f t="shared" si="5"/>
        <v>0</v>
      </c>
      <c r="O19" s="575">
        <f t="shared" si="6"/>
        <v>0</v>
      </c>
      <c r="P19" s="575">
        <f t="shared" si="7"/>
        <v>0</v>
      </c>
      <c r="Q19" s="575">
        <f>Q18+N19+(O19+P19)*0.5</f>
        <v>0</v>
      </c>
    </row>
    <row r="20" spans="1:23" ht="15">
      <c r="A20" s="412">
        <f t="shared" si="0"/>
        <v>6</v>
      </c>
      <c r="B20" s="424" t="s">
        <v>374</v>
      </c>
      <c r="C20" s="409">
        <v>31</v>
      </c>
      <c r="D20" s="410">
        <f t="shared" si="1"/>
        <v>215</v>
      </c>
      <c r="E20" s="410">
        <f t="shared" si="8"/>
        <v>365</v>
      </c>
      <c r="F20" s="43">
        <f>215/365</f>
        <v>0.58904109589041098</v>
      </c>
      <c r="G20" s="410"/>
      <c r="H20" s="825">
        <v>0</v>
      </c>
      <c r="I20" s="570">
        <f t="shared" si="3"/>
        <v>0</v>
      </c>
      <c r="J20" s="570">
        <f t="shared" ref="J20:J27" si="10">+I20+J19</f>
        <v>0</v>
      </c>
      <c r="K20" s="572"/>
      <c r="L20" s="576">
        <f t="shared" si="4"/>
        <v>0</v>
      </c>
      <c r="M20" s="574">
        <f t="shared" si="9"/>
        <v>0</v>
      </c>
      <c r="N20" s="575">
        <f t="shared" si="5"/>
        <v>0</v>
      </c>
      <c r="O20" s="575">
        <f t="shared" si="6"/>
        <v>0</v>
      </c>
      <c r="P20" s="575">
        <f t="shared" si="7"/>
        <v>0</v>
      </c>
      <c r="Q20" s="575">
        <f t="shared" ref="Q20:Q26" si="11">Q19+N20+(O20+P20)*0.5</f>
        <v>0</v>
      </c>
    </row>
    <row r="21" spans="1:23" ht="15">
      <c r="A21" s="412">
        <f t="shared" si="0"/>
        <v>7</v>
      </c>
      <c r="B21" s="424" t="s">
        <v>375</v>
      </c>
      <c r="C21" s="409">
        <v>30</v>
      </c>
      <c r="D21" s="410">
        <f t="shared" si="1"/>
        <v>185</v>
      </c>
      <c r="E21" s="410">
        <f t="shared" si="8"/>
        <v>365</v>
      </c>
      <c r="F21" s="43">
        <f>185/365</f>
        <v>0.50684931506849318</v>
      </c>
      <c r="G21" s="410"/>
      <c r="H21" s="825">
        <v>0</v>
      </c>
      <c r="I21" s="570">
        <f t="shared" si="3"/>
        <v>0</v>
      </c>
      <c r="J21" s="570">
        <f t="shared" si="10"/>
        <v>0</v>
      </c>
      <c r="K21" s="572"/>
      <c r="L21" s="576">
        <f t="shared" si="4"/>
        <v>0</v>
      </c>
      <c r="M21" s="574">
        <f t="shared" si="9"/>
        <v>0</v>
      </c>
      <c r="N21" s="575">
        <f t="shared" si="5"/>
        <v>0</v>
      </c>
      <c r="O21" s="575">
        <f t="shared" si="6"/>
        <v>0</v>
      </c>
      <c r="P21" s="575">
        <f t="shared" si="7"/>
        <v>0</v>
      </c>
      <c r="Q21" s="575">
        <f t="shared" si="11"/>
        <v>0</v>
      </c>
    </row>
    <row r="22" spans="1:23" ht="15">
      <c r="A22" s="412">
        <f t="shared" si="0"/>
        <v>8</v>
      </c>
      <c r="B22" s="424" t="s">
        <v>376</v>
      </c>
      <c r="C22" s="409">
        <v>31</v>
      </c>
      <c r="D22" s="410">
        <f t="shared" si="1"/>
        <v>154</v>
      </c>
      <c r="E22" s="410">
        <f t="shared" si="8"/>
        <v>365</v>
      </c>
      <c r="F22" s="43">
        <f>154/365</f>
        <v>0.42191780821917807</v>
      </c>
      <c r="G22" s="410"/>
      <c r="H22" s="825">
        <v>0</v>
      </c>
      <c r="I22" s="570">
        <f t="shared" si="3"/>
        <v>0</v>
      </c>
      <c r="J22" s="570">
        <f t="shared" si="10"/>
        <v>0</v>
      </c>
      <c r="K22" s="572"/>
      <c r="L22" s="576">
        <f t="shared" si="4"/>
        <v>0</v>
      </c>
      <c r="M22" s="574">
        <f t="shared" si="9"/>
        <v>0</v>
      </c>
      <c r="N22" s="575">
        <f t="shared" si="5"/>
        <v>0</v>
      </c>
      <c r="O22" s="575">
        <f t="shared" si="6"/>
        <v>0</v>
      </c>
      <c r="P22" s="575">
        <f t="shared" si="7"/>
        <v>0</v>
      </c>
      <c r="Q22" s="575">
        <f t="shared" si="11"/>
        <v>0</v>
      </c>
    </row>
    <row r="23" spans="1:23" ht="15">
      <c r="A23" s="412">
        <f t="shared" si="0"/>
        <v>9</v>
      </c>
      <c r="B23" s="424" t="s">
        <v>377</v>
      </c>
      <c r="C23" s="409">
        <v>31</v>
      </c>
      <c r="D23" s="410">
        <f t="shared" si="1"/>
        <v>123</v>
      </c>
      <c r="E23" s="410">
        <f t="shared" si="8"/>
        <v>365</v>
      </c>
      <c r="F23" s="43">
        <f>123/365</f>
        <v>0.33698630136986302</v>
      </c>
      <c r="G23" s="410"/>
      <c r="H23" s="825">
        <v>0</v>
      </c>
      <c r="I23" s="570">
        <f t="shared" si="3"/>
        <v>0</v>
      </c>
      <c r="J23" s="570">
        <f t="shared" si="10"/>
        <v>0</v>
      </c>
      <c r="K23" s="572"/>
      <c r="L23" s="576">
        <f t="shared" si="4"/>
        <v>0</v>
      </c>
      <c r="M23" s="574">
        <f t="shared" si="9"/>
        <v>0</v>
      </c>
      <c r="N23" s="575">
        <f t="shared" si="5"/>
        <v>0</v>
      </c>
      <c r="O23" s="575">
        <f t="shared" si="6"/>
        <v>0</v>
      </c>
      <c r="P23" s="575">
        <f t="shared" si="7"/>
        <v>0</v>
      </c>
      <c r="Q23" s="575">
        <f t="shared" si="11"/>
        <v>0</v>
      </c>
    </row>
    <row r="24" spans="1:23" ht="15">
      <c r="A24" s="412">
        <f t="shared" si="0"/>
        <v>10</v>
      </c>
      <c r="B24" s="424" t="s">
        <v>378</v>
      </c>
      <c r="C24" s="409">
        <v>30</v>
      </c>
      <c r="D24" s="410">
        <f t="shared" si="1"/>
        <v>93</v>
      </c>
      <c r="E24" s="410">
        <f t="shared" si="8"/>
        <v>365</v>
      </c>
      <c r="F24" s="43">
        <f>93/365</f>
        <v>0.25479452054794521</v>
      </c>
      <c r="G24" s="410"/>
      <c r="H24" s="825">
        <v>0</v>
      </c>
      <c r="I24" s="570">
        <f t="shared" si="3"/>
        <v>0</v>
      </c>
      <c r="J24" s="570">
        <f t="shared" si="10"/>
        <v>0</v>
      </c>
      <c r="K24" s="572"/>
      <c r="L24" s="576">
        <f t="shared" si="4"/>
        <v>0</v>
      </c>
      <c r="M24" s="574">
        <f t="shared" si="9"/>
        <v>0</v>
      </c>
      <c r="N24" s="575">
        <f t="shared" si="5"/>
        <v>0</v>
      </c>
      <c r="O24" s="575">
        <f t="shared" si="6"/>
        <v>0</v>
      </c>
      <c r="P24" s="575">
        <f t="shared" si="7"/>
        <v>0</v>
      </c>
      <c r="Q24" s="575">
        <f t="shared" si="11"/>
        <v>0</v>
      </c>
    </row>
    <row r="25" spans="1:23" ht="15">
      <c r="A25" s="412">
        <f t="shared" si="0"/>
        <v>11</v>
      </c>
      <c r="B25" s="424" t="s">
        <v>379</v>
      </c>
      <c r="C25" s="409">
        <v>31</v>
      </c>
      <c r="D25" s="410">
        <f t="shared" si="1"/>
        <v>62</v>
      </c>
      <c r="E25" s="410">
        <f t="shared" si="8"/>
        <v>365</v>
      </c>
      <c r="F25" s="43">
        <f>62/365</f>
        <v>0.16986301369863013</v>
      </c>
      <c r="G25" s="410"/>
      <c r="H25" s="825">
        <v>0</v>
      </c>
      <c r="I25" s="570">
        <f t="shared" si="3"/>
        <v>0</v>
      </c>
      <c r="J25" s="570">
        <f t="shared" si="10"/>
        <v>0</v>
      </c>
      <c r="K25" s="572"/>
      <c r="L25" s="576">
        <f t="shared" si="4"/>
        <v>0</v>
      </c>
      <c r="M25" s="574">
        <f t="shared" si="9"/>
        <v>0</v>
      </c>
      <c r="N25" s="575">
        <f t="shared" si="5"/>
        <v>0</v>
      </c>
      <c r="O25" s="575">
        <f t="shared" si="6"/>
        <v>0</v>
      </c>
      <c r="P25" s="575">
        <f t="shared" si="7"/>
        <v>0</v>
      </c>
      <c r="Q25" s="575">
        <f t="shared" si="11"/>
        <v>0</v>
      </c>
    </row>
    <row r="26" spans="1:23" ht="15">
      <c r="A26" s="412">
        <f t="shared" si="0"/>
        <v>12</v>
      </c>
      <c r="B26" s="424" t="s">
        <v>380</v>
      </c>
      <c r="C26" s="409">
        <v>30</v>
      </c>
      <c r="D26" s="410">
        <f t="shared" si="1"/>
        <v>32</v>
      </c>
      <c r="E26" s="410">
        <f t="shared" si="8"/>
        <v>365</v>
      </c>
      <c r="F26" s="43">
        <f>32/365</f>
        <v>8.7671232876712329E-2</v>
      </c>
      <c r="G26" s="410"/>
      <c r="H26" s="825">
        <v>0</v>
      </c>
      <c r="I26" s="570">
        <f t="shared" si="3"/>
        <v>0</v>
      </c>
      <c r="J26" s="570">
        <f t="shared" si="10"/>
        <v>0</v>
      </c>
      <c r="K26" s="572"/>
      <c r="L26" s="576">
        <f t="shared" si="4"/>
        <v>0</v>
      </c>
      <c r="M26" s="574">
        <f t="shared" si="9"/>
        <v>0</v>
      </c>
      <c r="N26" s="575">
        <f t="shared" si="5"/>
        <v>0</v>
      </c>
      <c r="O26" s="575">
        <f t="shared" si="6"/>
        <v>0</v>
      </c>
      <c r="P26" s="575">
        <f t="shared" si="7"/>
        <v>0</v>
      </c>
      <c r="Q26" s="575">
        <f t="shared" si="11"/>
        <v>0</v>
      </c>
    </row>
    <row r="27" spans="1:23" ht="15">
      <c r="A27" s="412">
        <f t="shared" si="0"/>
        <v>13</v>
      </c>
      <c r="B27" s="424" t="s">
        <v>381</v>
      </c>
      <c r="C27" s="409">
        <v>31</v>
      </c>
      <c r="D27" s="410">
        <v>1</v>
      </c>
      <c r="E27" s="410">
        <f t="shared" si="8"/>
        <v>365</v>
      </c>
      <c r="F27" s="43">
        <f>1/365</f>
        <v>2.7397260273972603E-3</v>
      </c>
      <c r="G27" s="410"/>
      <c r="H27" s="825">
        <v>0</v>
      </c>
      <c r="I27" s="570">
        <f t="shared" si="3"/>
        <v>0</v>
      </c>
      <c r="J27" s="570">
        <f t="shared" si="10"/>
        <v>0</v>
      </c>
      <c r="K27" s="572"/>
      <c r="L27" s="576">
        <f t="shared" si="4"/>
        <v>0</v>
      </c>
      <c r="M27" s="574">
        <f t="shared" si="9"/>
        <v>0</v>
      </c>
      <c r="N27" s="575">
        <f t="shared" si="5"/>
        <v>0</v>
      </c>
      <c r="O27" s="575">
        <f t="shared" si="6"/>
        <v>0</v>
      </c>
      <c r="P27" s="575">
        <f t="shared" si="7"/>
        <v>0</v>
      </c>
      <c r="Q27" s="575">
        <f>Q26+N27+(O27+P27)*0.5</f>
        <v>0</v>
      </c>
    </row>
    <row r="28" spans="1:23" ht="15">
      <c r="A28" s="412">
        <f t="shared" si="0"/>
        <v>14</v>
      </c>
      <c r="B28" s="425" t="s">
        <v>67</v>
      </c>
      <c r="C28" s="426">
        <f>SUM(C16:C27)</f>
        <v>365</v>
      </c>
      <c r="D28" s="425"/>
      <c r="E28" s="425"/>
      <c r="F28" s="427"/>
      <c r="G28" s="410"/>
      <c r="H28" s="577">
        <f>SUM(H16:H27)</f>
        <v>0</v>
      </c>
      <c r="I28" s="577">
        <f>SUM(I16:I27)</f>
        <v>0</v>
      </c>
      <c r="J28" s="578"/>
      <c r="K28" s="572"/>
      <c r="L28" s="577">
        <f>SUM(L16:L27)</f>
        <v>0</v>
      </c>
      <c r="M28" s="577">
        <f t="shared" ref="M28:P28" si="12">SUM(M16:M27)</f>
        <v>0</v>
      </c>
      <c r="N28" s="579">
        <f t="shared" si="12"/>
        <v>0</v>
      </c>
      <c r="O28" s="579">
        <f t="shared" si="12"/>
        <v>0</v>
      </c>
      <c r="P28" s="579">
        <f t="shared" si="12"/>
        <v>0</v>
      </c>
      <c r="Q28" s="580"/>
      <c r="T28" s="620"/>
    </row>
    <row r="29" spans="1:23" ht="15">
      <c r="A29" s="412"/>
      <c r="B29" s="428"/>
      <c r="C29" s="428"/>
      <c r="D29" s="428"/>
      <c r="E29" s="428"/>
      <c r="F29" s="429"/>
      <c r="G29" s="429"/>
      <c r="H29" s="412"/>
      <c r="I29" s="430"/>
      <c r="J29" s="429"/>
      <c r="K29" s="429"/>
      <c r="L29" s="412"/>
      <c r="M29" s="412"/>
      <c r="N29" s="412"/>
      <c r="O29" s="412"/>
      <c r="P29" s="412"/>
      <c r="Q29" s="412"/>
    </row>
    <row r="30" spans="1:23" ht="16.899999999999999" customHeight="1">
      <c r="A30" s="45"/>
      <c r="B30" s="45"/>
      <c r="C30" s="45"/>
      <c r="D30" s="45"/>
      <c r="E30" s="45"/>
      <c r="F30" s="45"/>
      <c r="G30" s="45"/>
      <c r="H30" s="45"/>
      <c r="I30" s="45"/>
      <c r="J30" s="45"/>
      <c r="K30" s="45"/>
      <c r="L30" s="45"/>
      <c r="M30" s="45"/>
      <c r="N30" s="45"/>
      <c r="O30" s="45"/>
      <c r="P30" s="45"/>
      <c r="Q30" s="45"/>
    </row>
    <row r="31" spans="1:23" ht="16.899999999999999" customHeight="1">
      <c r="A31" s="45"/>
      <c r="B31" s="45"/>
      <c r="C31" s="45"/>
      <c r="D31" s="45"/>
      <c r="E31" s="45"/>
      <c r="F31" s="59" t="s">
        <v>16</v>
      </c>
      <c r="G31" s="45"/>
      <c r="H31" s="45"/>
      <c r="I31" s="45"/>
      <c r="J31" s="59" t="s">
        <v>430</v>
      </c>
      <c r="K31" s="45"/>
      <c r="L31" s="45"/>
      <c r="M31" s="45"/>
      <c r="N31" s="45"/>
      <c r="O31" s="59"/>
      <c r="P31" s="45"/>
      <c r="Q31" s="45"/>
    </row>
    <row r="32" spans="1:23" ht="16.899999999999999" customHeight="1">
      <c r="A32" s="45"/>
      <c r="B32" s="45"/>
      <c r="C32" s="52" t="s">
        <v>56</v>
      </c>
      <c r="D32" s="52"/>
      <c r="E32" s="52" t="s">
        <v>362</v>
      </c>
      <c r="F32" s="53" t="s">
        <v>431</v>
      </c>
      <c r="G32" s="53" t="s">
        <v>67</v>
      </c>
      <c r="H32" s="52"/>
      <c r="I32" s="52" t="s">
        <v>365</v>
      </c>
      <c r="J32" s="53" t="s">
        <v>431</v>
      </c>
      <c r="K32" s="45"/>
      <c r="L32" s="53" t="s">
        <v>67</v>
      </c>
      <c r="M32" s="45"/>
      <c r="N32" s="53" t="s">
        <v>432</v>
      </c>
      <c r="O32" s="53"/>
      <c r="P32" s="826" t="s">
        <v>976</v>
      </c>
      <c r="Q32" s="827">
        <v>0</v>
      </c>
      <c r="R32" s="828"/>
      <c r="S32" s="828"/>
      <c r="T32" s="828" t="s">
        <v>978</v>
      </c>
      <c r="U32" s="827"/>
      <c r="V32" s="829"/>
      <c r="W32" s="827">
        <v>0</v>
      </c>
    </row>
    <row r="33" spans="1:23" ht="16.899999999999999" customHeight="1">
      <c r="A33" s="45"/>
      <c r="B33" s="45" t="s">
        <v>423</v>
      </c>
      <c r="C33" s="45"/>
      <c r="D33" s="45"/>
      <c r="E33" s="45"/>
      <c r="F33" s="45"/>
      <c r="G33" s="45"/>
      <c r="H33" s="45"/>
      <c r="I33" s="45"/>
      <c r="J33" s="45"/>
      <c r="K33" s="45"/>
      <c r="L33" s="45"/>
      <c r="M33" s="45"/>
      <c r="N33" s="45"/>
      <c r="O33" s="45"/>
      <c r="P33" s="828"/>
      <c r="Q33" s="828"/>
      <c r="R33" s="828"/>
      <c r="S33" s="828"/>
      <c r="T33" s="828"/>
      <c r="U33" s="828"/>
      <c r="V33" s="829"/>
      <c r="W33" s="829"/>
    </row>
    <row r="34" spans="1:23" ht="16.899999999999999" customHeight="1">
      <c r="A34" s="45">
        <f>+A28+1</f>
        <v>15</v>
      </c>
      <c r="B34" s="45" t="s">
        <v>370</v>
      </c>
      <c r="C34" s="581">
        <v>0</v>
      </c>
      <c r="D34" s="342"/>
      <c r="E34" s="581">
        <v>0</v>
      </c>
      <c r="F34" s="462">
        <f>+'Appendix A'!$H$27</f>
        <v>0.26818076319772116</v>
      </c>
      <c r="G34" s="342">
        <f>+E34*F34</f>
        <v>0</v>
      </c>
      <c r="H34" s="342"/>
      <c r="I34" s="581">
        <v>0</v>
      </c>
      <c r="J34" s="462">
        <f>+'Appendix A'!$H$16</f>
        <v>0.12508709030780155</v>
      </c>
      <c r="K34" s="45"/>
      <c r="L34" s="342">
        <f>+I34*J34</f>
        <v>0</v>
      </c>
      <c r="M34" s="342"/>
      <c r="N34" s="581">
        <f>+C34+G34+L34</f>
        <v>0</v>
      </c>
      <c r="O34" s="461"/>
      <c r="P34" s="827" t="s">
        <v>977</v>
      </c>
      <c r="Q34" s="827">
        <v>0</v>
      </c>
      <c r="R34" s="828"/>
      <c r="S34" s="828"/>
      <c r="T34" s="828" t="s">
        <v>979</v>
      </c>
      <c r="U34" s="827">
        <v>0</v>
      </c>
      <c r="V34" s="830">
        <f>+J34</f>
        <v>0.12508709030780155</v>
      </c>
      <c r="W34" s="827">
        <v>0</v>
      </c>
    </row>
    <row r="35" spans="1:23" ht="16.899999999999999" customHeight="1">
      <c r="A35" s="45">
        <f>+A34+1</f>
        <v>16</v>
      </c>
      <c r="B35" s="45" t="s">
        <v>371</v>
      </c>
      <c r="C35" s="581">
        <v>0</v>
      </c>
      <c r="D35" s="342"/>
      <c r="E35" s="581">
        <v>0</v>
      </c>
      <c r="F35" s="462">
        <f>+'Appendix A'!$H$27</f>
        <v>0.26818076319772116</v>
      </c>
      <c r="G35" s="342">
        <f t="shared" ref="G35:G45" si="13">+E35*F35</f>
        <v>0</v>
      </c>
      <c r="H35" s="342"/>
      <c r="I35" s="581">
        <v>0</v>
      </c>
      <c r="J35" s="462">
        <f>+'Appendix A'!$H$16</f>
        <v>0.12508709030780155</v>
      </c>
      <c r="K35" s="45"/>
      <c r="L35" s="342">
        <f t="shared" ref="L35:L45" si="14">+I35*J35</f>
        <v>0</v>
      </c>
      <c r="M35" s="342"/>
      <c r="N35" s="581">
        <f t="shared" ref="N35:N45" si="15">+C35+G35+L35+P35</f>
        <v>0</v>
      </c>
      <c r="O35" s="461"/>
      <c r="P35" s="831"/>
      <c r="Q35" s="829"/>
      <c r="R35" s="829"/>
      <c r="S35" s="829"/>
      <c r="T35" s="829"/>
      <c r="U35" s="829"/>
      <c r="V35" s="829"/>
      <c r="W35" s="829"/>
    </row>
    <row r="36" spans="1:23" ht="16.899999999999999" customHeight="1">
      <c r="A36" s="45">
        <f t="shared" ref="A36:A45" si="16">+A35+1</f>
        <v>17</v>
      </c>
      <c r="B36" s="45" t="s">
        <v>372</v>
      </c>
      <c r="C36" s="581">
        <v>0</v>
      </c>
      <c r="D36" s="342"/>
      <c r="E36" s="581">
        <v>0</v>
      </c>
      <c r="F36" s="462">
        <f>+'Appendix A'!$H$27</f>
        <v>0.26818076319772116</v>
      </c>
      <c r="G36" s="342">
        <f t="shared" si="13"/>
        <v>0</v>
      </c>
      <c r="H36" s="342"/>
      <c r="I36" s="581">
        <v>0</v>
      </c>
      <c r="J36" s="462">
        <f>+'Appendix A'!$H$16</f>
        <v>0.12508709030780155</v>
      </c>
      <c r="K36" s="45"/>
      <c r="L36" s="342">
        <f t="shared" si="14"/>
        <v>0</v>
      </c>
      <c r="M36" s="342"/>
      <c r="N36" s="581">
        <f t="shared" si="15"/>
        <v>0</v>
      </c>
      <c r="O36" s="461"/>
      <c r="P36" s="831"/>
      <c r="Q36" s="829"/>
      <c r="R36" s="829"/>
      <c r="S36" s="829"/>
      <c r="T36" s="827" t="s">
        <v>67</v>
      </c>
      <c r="U36" s="827"/>
      <c r="V36" s="827"/>
      <c r="W36" s="827">
        <f>+W32+W34</f>
        <v>0</v>
      </c>
    </row>
    <row r="37" spans="1:23" ht="16.899999999999999" customHeight="1">
      <c r="A37" s="45">
        <f t="shared" si="16"/>
        <v>18</v>
      </c>
      <c r="B37" s="45" t="s">
        <v>373</v>
      </c>
      <c r="C37" s="581">
        <v>0</v>
      </c>
      <c r="D37" s="342"/>
      <c r="E37" s="581">
        <v>0</v>
      </c>
      <c r="F37" s="462">
        <f>+'Appendix A'!$H$27</f>
        <v>0.26818076319772116</v>
      </c>
      <c r="G37" s="342">
        <f t="shared" si="13"/>
        <v>0</v>
      </c>
      <c r="H37" s="342"/>
      <c r="I37" s="581">
        <v>0</v>
      </c>
      <c r="J37" s="462">
        <f>+'Appendix A'!$H$16</f>
        <v>0.12508709030780155</v>
      </c>
      <c r="K37" s="45"/>
      <c r="L37" s="342">
        <f t="shared" si="14"/>
        <v>0</v>
      </c>
      <c r="M37" s="342"/>
      <c r="N37" s="581">
        <f t="shared" si="15"/>
        <v>0</v>
      </c>
      <c r="O37" s="461"/>
      <c r="P37" s="342"/>
    </row>
    <row r="38" spans="1:23" ht="16.899999999999999" customHeight="1">
      <c r="A38" s="45">
        <f t="shared" si="16"/>
        <v>19</v>
      </c>
      <c r="B38" s="45" t="s">
        <v>374</v>
      </c>
      <c r="C38" s="581">
        <v>0</v>
      </c>
      <c r="D38" s="342"/>
      <c r="E38" s="581">
        <v>0</v>
      </c>
      <c r="F38" s="462">
        <f>+'Appendix A'!$H$27</f>
        <v>0.26818076319772116</v>
      </c>
      <c r="G38" s="342">
        <f t="shared" si="13"/>
        <v>0</v>
      </c>
      <c r="H38" s="342"/>
      <c r="I38" s="581">
        <v>0</v>
      </c>
      <c r="J38" s="462">
        <f>+'Appendix A'!$H$16</f>
        <v>0.12508709030780155</v>
      </c>
      <c r="K38" s="45"/>
      <c r="L38" s="342">
        <f t="shared" si="14"/>
        <v>0</v>
      </c>
      <c r="M38" s="342"/>
      <c r="N38" s="581">
        <f>+C38+G38+L38+P38</f>
        <v>0</v>
      </c>
      <c r="O38" s="461"/>
      <c r="P38" s="342"/>
    </row>
    <row r="39" spans="1:23" ht="16.899999999999999" customHeight="1">
      <c r="A39" s="45">
        <f t="shared" si="16"/>
        <v>20</v>
      </c>
      <c r="B39" s="45" t="s">
        <v>375</v>
      </c>
      <c r="C39" s="581">
        <v>0</v>
      </c>
      <c r="D39" s="342"/>
      <c r="E39" s="581">
        <v>0</v>
      </c>
      <c r="F39" s="462">
        <f>+'Appendix A'!$H$27</f>
        <v>0.26818076319772116</v>
      </c>
      <c r="G39" s="342">
        <f t="shared" si="13"/>
        <v>0</v>
      </c>
      <c r="H39" s="342"/>
      <c r="I39" s="581">
        <v>0</v>
      </c>
      <c r="J39" s="462">
        <f>+'Appendix A'!$H$16</f>
        <v>0.12508709030780155</v>
      </c>
      <c r="K39" s="45"/>
      <c r="L39" s="342">
        <f t="shared" si="14"/>
        <v>0</v>
      </c>
      <c r="M39" s="342"/>
      <c r="N39" s="581">
        <f>+C39+G39+L39+P39</f>
        <v>0</v>
      </c>
      <c r="O39" s="461"/>
      <c r="P39" s="342"/>
    </row>
    <row r="40" spans="1:23" ht="15">
      <c r="A40" s="45">
        <f t="shared" si="16"/>
        <v>21</v>
      </c>
      <c r="B40" s="45" t="s">
        <v>376</v>
      </c>
      <c r="C40" s="581">
        <v>0</v>
      </c>
      <c r="D40" s="342"/>
      <c r="E40" s="581">
        <v>0</v>
      </c>
      <c r="F40" s="462">
        <f>+'Appendix A'!$H$27</f>
        <v>0.26818076319772116</v>
      </c>
      <c r="G40" s="342">
        <f t="shared" si="13"/>
        <v>0</v>
      </c>
      <c r="H40" s="342"/>
      <c r="I40" s="581">
        <v>0</v>
      </c>
      <c r="J40" s="462">
        <f>+'Appendix A'!$H$16</f>
        <v>0.12508709030780155</v>
      </c>
      <c r="K40" s="45"/>
      <c r="L40" s="342">
        <f t="shared" si="14"/>
        <v>0</v>
      </c>
      <c r="M40" s="342"/>
      <c r="N40" s="581">
        <f>+C40+G40+L40+P40</f>
        <v>0</v>
      </c>
      <c r="O40" s="461"/>
      <c r="P40" s="342"/>
    </row>
    <row r="41" spans="1:23" ht="15">
      <c r="A41" s="45">
        <f t="shared" si="16"/>
        <v>22</v>
      </c>
      <c r="B41" s="45" t="s">
        <v>377</v>
      </c>
      <c r="C41" s="581">
        <v>0</v>
      </c>
      <c r="D41" s="342"/>
      <c r="E41" s="581">
        <v>0</v>
      </c>
      <c r="F41" s="462">
        <f>+'Appendix A'!$H$27</f>
        <v>0.26818076319772116</v>
      </c>
      <c r="G41" s="342">
        <f t="shared" si="13"/>
        <v>0</v>
      </c>
      <c r="H41" s="342"/>
      <c r="I41" s="581">
        <v>0</v>
      </c>
      <c r="J41" s="462">
        <f>+'Appendix A'!$H$16</f>
        <v>0.12508709030780155</v>
      </c>
      <c r="K41" s="45"/>
      <c r="L41" s="342">
        <f t="shared" si="14"/>
        <v>0</v>
      </c>
      <c r="M41" s="342"/>
      <c r="N41" s="581">
        <f t="shared" si="15"/>
        <v>0</v>
      </c>
      <c r="O41" s="461"/>
      <c r="P41" s="342"/>
    </row>
    <row r="42" spans="1:23" ht="15">
      <c r="A42" s="45">
        <f t="shared" si="16"/>
        <v>23</v>
      </c>
      <c r="B42" s="45" t="s">
        <v>378</v>
      </c>
      <c r="C42" s="581">
        <v>0</v>
      </c>
      <c r="D42" s="342"/>
      <c r="E42" s="581">
        <v>0</v>
      </c>
      <c r="F42" s="462">
        <f>+'Appendix A'!$H$27</f>
        <v>0.26818076319772116</v>
      </c>
      <c r="G42" s="342">
        <f t="shared" si="13"/>
        <v>0</v>
      </c>
      <c r="H42" s="342"/>
      <c r="I42" s="581">
        <v>0</v>
      </c>
      <c r="J42" s="462">
        <f>+'Appendix A'!$H$16</f>
        <v>0.12508709030780155</v>
      </c>
      <c r="K42" s="45"/>
      <c r="L42" s="342">
        <f t="shared" si="14"/>
        <v>0</v>
      </c>
      <c r="M42" s="342"/>
      <c r="N42" s="581">
        <f t="shared" si="15"/>
        <v>0</v>
      </c>
      <c r="O42" s="461"/>
      <c r="P42" s="342"/>
    </row>
    <row r="43" spans="1:23" ht="15">
      <c r="A43" s="45">
        <f t="shared" si="16"/>
        <v>24</v>
      </c>
      <c r="B43" s="45" t="s">
        <v>379</v>
      </c>
      <c r="C43" s="581">
        <v>0</v>
      </c>
      <c r="D43" s="342"/>
      <c r="E43" s="581">
        <v>0</v>
      </c>
      <c r="F43" s="462">
        <f>+'Appendix A'!$H$27</f>
        <v>0.26818076319772116</v>
      </c>
      <c r="G43" s="342">
        <f t="shared" si="13"/>
        <v>0</v>
      </c>
      <c r="H43" s="342"/>
      <c r="I43" s="581">
        <v>0</v>
      </c>
      <c r="J43" s="462">
        <f>+'Appendix A'!$H$16</f>
        <v>0.12508709030780155</v>
      </c>
      <c r="K43" s="45"/>
      <c r="L43" s="342">
        <f t="shared" si="14"/>
        <v>0</v>
      </c>
      <c r="M43" s="342"/>
      <c r="N43" s="581">
        <f t="shared" si="15"/>
        <v>0</v>
      </c>
      <c r="O43" s="461"/>
      <c r="P43" s="342"/>
    </row>
    <row r="44" spans="1:23" ht="15">
      <c r="A44" s="45">
        <f t="shared" si="16"/>
        <v>25</v>
      </c>
      <c r="B44" s="45" t="s">
        <v>380</v>
      </c>
      <c r="C44" s="581">
        <v>0</v>
      </c>
      <c r="D44" s="342"/>
      <c r="E44" s="581">
        <v>0</v>
      </c>
      <c r="F44" s="462">
        <f>+'Appendix A'!$H$27</f>
        <v>0.26818076319772116</v>
      </c>
      <c r="G44" s="342">
        <f t="shared" si="13"/>
        <v>0</v>
      </c>
      <c r="H44" s="342"/>
      <c r="I44" s="581">
        <v>0</v>
      </c>
      <c r="J44" s="462">
        <f>+'Appendix A'!$H$16</f>
        <v>0.12508709030780155</v>
      </c>
      <c r="K44" s="45"/>
      <c r="L44" s="342">
        <f t="shared" si="14"/>
        <v>0</v>
      </c>
      <c r="M44" s="342"/>
      <c r="N44" s="581">
        <f t="shared" si="15"/>
        <v>0</v>
      </c>
      <c r="O44" s="461"/>
      <c r="P44" s="342"/>
    </row>
    <row r="45" spans="1:23" ht="15">
      <c r="A45" s="45">
        <f t="shared" si="16"/>
        <v>26</v>
      </c>
      <c r="B45" s="45" t="s">
        <v>381</v>
      </c>
      <c r="C45" s="581">
        <v>0</v>
      </c>
      <c r="D45" s="342"/>
      <c r="E45" s="581">
        <v>0</v>
      </c>
      <c r="F45" s="462">
        <f>+'Appendix A'!$H$27</f>
        <v>0.26818076319772116</v>
      </c>
      <c r="G45" s="342">
        <f t="shared" si="13"/>
        <v>0</v>
      </c>
      <c r="H45" s="342"/>
      <c r="I45" s="581">
        <v>0</v>
      </c>
      <c r="J45" s="462">
        <f>+'Appendix A'!$H$16</f>
        <v>0.12508709030780155</v>
      </c>
      <c r="K45" s="45"/>
      <c r="L45" s="342">
        <f t="shared" si="14"/>
        <v>0</v>
      </c>
      <c r="M45" s="342"/>
      <c r="N45" s="581">
        <f t="shared" si="15"/>
        <v>0</v>
      </c>
      <c r="O45" s="461"/>
      <c r="P45" s="342"/>
    </row>
    <row r="46" spans="1:23" ht="15">
      <c r="A46" s="45"/>
      <c r="B46" s="45"/>
      <c r="C46" s="45"/>
      <c r="D46" s="45"/>
      <c r="E46" s="45"/>
      <c r="F46" s="45"/>
      <c r="G46" s="45"/>
      <c r="H46" s="45"/>
      <c r="I46" s="45"/>
      <c r="J46" s="45"/>
      <c r="K46" s="45"/>
      <c r="L46" s="45"/>
      <c r="M46" s="45"/>
      <c r="N46" s="45"/>
      <c r="O46" s="45"/>
      <c r="P46" s="45"/>
      <c r="Q46" s="45"/>
    </row>
    <row r="47" spans="1:23" ht="15">
      <c r="A47" s="45"/>
      <c r="B47" s="45"/>
      <c r="C47" s="45"/>
      <c r="D47" s="45"/>
      <c r="E47" s="45"/>
      <c r="F47" s="45"/>
      <c r="G47" s="45"/>
      <c r="H47" s="45"/>
      <c r="I47" s="45"/>
      <c r="J47" s="45"/>
      <c r="K47" s="45"/>
      <c r="L47" s="45"/>
      <c r="M47" s="45"/>
      <c r="N47" s="45"/>
      <c r="O47" s="45"/>
      <c r="P47" s="45"/>
      <c r="Q47" s="45"/>
    </row>
    <row r="48" spans="1:23" ht="15">
      <c r="A48" s="45"/>
      <c r="B48" s="45" t="s">
        <v>433</v>
      </c>
      <c r="C48" s="45"/>
      <c r="D48" s="45"/>
      <c r="E48" s="45"/>
      <c r="F48" s="45"/>
      <c r="G48" s="45"/>
      <c r="H48" s="45"/>
      <c r="I48" s="45"/>
      <c r="J48" s="45"/>
      <c r="K48" s="45"/>
      <c r="L48" s="45"/>
      <c r="M48" s="45"/>
      <c r="N48" s="45"/>
      <c r="O48" s="45"/>
      <c r="P48" s="45"/>
      <c r="Q48" s="45"/>
    </row>
    <row r="49" spans="1:17" ht="15">
      <c r="A49" s="45"/>
      <c r="B49" s="45" t="s">
        <v>405</v>
      </c>
      <c r="C49" s="45"/>
      <c r="D49" s="45"/>
      <c r="E49" s="45"/>
      <c r="F49" s="45"/>
      <c r="G49" s="45"/>
      <c r="H49" s="45"/>
      <c r="I49" s="45"/>
      <c r="J49" s="45"/>
      <c r="K49" s="45"/>
      <c r="L49" s="45"/>
      <c r="M49" s="45"/>
      <c r="N49" s="45"/>
      <c r="O49" s="45"/>
      <c r="P49" s="45"/>
      <c r="Q49" s="45"/>
    </row>
    <row r="50" spans="1:17" ht="15">
      <c r="A50" s="45"/>
      <c r="B50" s="45" t="s">
        <v>406</v>
      </c>
      <c r="C50" s="45"/>
      <c r="D50" s="45"/>
      <c r="E50" s="45"/>
      <c r="F50" s="45"/>
      <c r="G50" s="45"/>
      <c r="H50" s="45"/>
      <c r="I50" s="45"/>
      <c r="J50" s="45"/>
      <c r="K50" s="45"/>
      <c r="L50" s="45"/>
      <c r="M50" s="45"/>
      <c r="N50" s="45"/>
      <c r="O50" s="45"/>
      <c r="P50" s="45"/>
      <c r="Q50" s="45"/>
    </row>
    <row r="51" spans="1:17" ht="15">
      <c r="A51" s="45"/>
      <c r="B51" s="45" t="s">
        <v>407</v>
      </c>
      <c r="C51" s="45"/>
      <c r="D51" s="45"/>
      <c r="E51" s="45"/>
      <c r="F51" s="45"/>
      <c r="G51" s="45"/>
      <c r="H51" s="45"/>
      <c r="I51" s="45"/>
      <c r="J51" s="45"/>
      <c r="K51" s="45"/>
      <c r="L51" s="45"/>
      <c r="M51" s="45"/>
      <c r="N51" s="45"/>
      <c r="O51" s="45"/>
      <c r="P51" s="45"/>
      <c r="Q51" s="45"/>
    </row>
    <row r="52" spans="1:17" ht="15">
      <c r="B52" s="45" t="s">
        <v>408</v>
      </c>
    </row>
  </sheetData>
  <mergeCells count="3">
    <mergeCell ref="B11:F11"/>
    <mergeCell ref="H11:J11"/>
    <mergeCell ref="L11:Q11"/>
  </mergeCells>
  <pageMargins left="0.7" right="0.7" top="0.75" bottom="0.75" header="0.3" footer="0.3"/>
  <pageSetup scale="43" fitToHeight="3" orientation="landscape" verticalDpi="0"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65"/>
  <sheetViews>
    <sheetView showGridLines="0" topLeftCell="A6" zoomScale="75" zoomScaleNormal="75" workbookViewId="0">
      <selection activeCell="E45" sqref="E45"/>
    </sheetView>
  </sheetViews>
  <sheetFormatPr defaultColWidth="9.28515625" defaultRowHeight="15"/>
  <cols>
    <col min="1" max="2" width="4.7109375" style="22" customWidth="1"/>
    <col min="3" max="3" width="59.7109375" style="22" customWidth="1"/>
    <col min="4" max="4" width="3.28515625" style="22" customWidth="1"/>
    <col min="5" max="5" width="16.5703125" style="28" customWidth="1"/>
    <col min="6" max="6" width="15.28515625" style="22" customWidth="1"/>
    <col min="7" max="8" width="20.28515625" style="22" customWidth="1"/>
    <col min="9" max="9" width="17.28515625" style="22" customWidth="1"/>
    <col min="10" max="10" width="9.28515625" style="22"/>
    <col min="11" max="11" width="18" style="22" bestFit="1" customWidth="1"/>
    <col min="12" max="12" width="9.28515625" style="22" bestFit="1" customWidth="1"/>
    <col min="13" max="13" width="18" style="22" bestFit="1" customWidth="1"/>
    <col min="14" max="16384" width="9.28515625" style="22"/>
  </cols>
  <sheetData>
    <row r="1" spans="1:9" ht="18">
      <c r="A1" s="18"/>
      <c r="B1" s="18"/>
      <c r="C1" s="18"/>
      <c r="D1" s="18"/>
      <c r="E1" s="33"/>
      <c r="F1" s="18"/>
      <c r="G1" s="18"/>
      <c r="H1" s="18"/>
      <c r="I1" s="1"/>
    </row>
    <row r="2" spans="1:9" ht="18">
      <c r="A2" s="905" t="str">
        <f>+'Appendix A'!A3</f>
        <v>Dayton Power and Light</v>
      </c>
      <c r="B2" s="905"/>
      <c r="C2" s="905"/>
      <c r="D2" s="905"/>
      <c r="E2" s="905"/>
      <c r="F2" s="905"/>
      <c r="G2" s="905"/>
      <c r="H2" s="905"/>
      <c r="I2" s="627"/>
    </row>
    <row r="3" spans="1:9" ht="18">
      <c r="A3" s="905" t="str">
        <f>+'Appendix A'!A4</f>
        <v xml:space="preserve">ATTACHMENT H-15A </v>
      </c>
      <c r="B3" s="905"/>
      <c r="C3" s="905"/>
      <c r="D3" s="905"/>
      <c r="E3" s="905"/>
      <c r="F3" s="906"/>
      <c r="G3" s="906"/>
      <c r="H3" s="906"/>
      <c r="I3" s="433"/>
    </row>
    <row r="4" spans="1:9" s="18" customFormat="1" ht="18">
      <c r="A4" s="905" t="s">
        <v>994</v>
      </c>
      <c r="B4" s="905"/>
      <c r="C4" s="905"/>
      <c r="D4" s="905"/>
      <c r="E4" s="905"/>
      <c r="F4" s="906"/>
      <c r="G4" s="906"/>
      <c r="H4" s="906"/>
    </row>
    <row r="5" spans="1:9">
      <c r="A5" s="1" t="s">
        <v>434</v>
      </c>
      <c r="B5" s="1"/>
      <c r="C5" s="1"/>
      <c r="D5" s="1"/>
      <c r="E5" s="3"/>
      <c r="F5" s="1"/>
      <c r="G5" s="1"/>
      <c r="H5" s="1"/>
      <c r="I5" s="1"/>
    </row>
    <row r="6" spans="1:9" s="1" customFormat="1" ht="15.75">
      <c r="A6" s="1" t="s">
        <v>411</v>
      </c>
      <c r="D6" s="23"/>
      <c r="E6" s="3"/>
    </row>
    <row r="7" spans="1:9" s="1" customFormat="1">
      <c r="E7" s="3"/>
    </row>
    <row r="8" spans="1:9">
      <c r="A8" s="1"/>
      <c r="B8" s="1"/>
      <c r="C8" s="1"/>
      <c r="D8" s="7"/>
      <c r="E8" s="7" t="s">
        <v>435</v>
      </c>
      <c r="F8" s="7"/>
      <c r="G8" s="7" t="s">
        <v>436</v>
      </c>
      <c r="H8" s="7"/>
      <c r="I8" s="1"/>
    </row>
    <row r="9" spans="1:9">
      <c r="A9" s="25" t="s">
        <v>437</v>
      </c>
      <c r="B9" s="25"/>
      <c r="C9" s="1"/>
      <c r="D9" s="7"/>
      <c r="E9" s="7" t="s">
        <v>438</v>
      </c>
      <c r="F9" s="7" t="s">
        <v>431</v>
      </c>
      <c r="G9" s="7" t="s">
        <v>439</v>
      </c>
      <c r="H9" s="7"/>
      <c r="I9" s="1"/>
    </row>
    <row r="10" spans="1:9">
      <c r="A10" s="25"/>
      <c r="B10" s="25"/>
      <c r="C10" s="1"/>
      <c r="D10" s="7"/>
      <c r="E10" s="24"/>
      <c r="F10" s="7"/>
      <c r="G10" s="7"/>
      <c r="H10" s="7"/>
      <c r="I10" s="1"/>
    </row>
    <row r="11" spans="1:9">
      <c r="A11" s="25"/>
      <c r="B11" s="25" t="s">
        <v>440</v>
      </c>
      <c r="C11" s="1"/>
      <c r="D11" s="7"/>
      <c r="E11" s="24"/>
      <c r="F11" s="7"/>
      <c r="G11" s="7"/>
      <c r="H11" s="7"/>
      <c r="I11" s="1"/>
    </row>
    <row r="12" spans="1:9">
      <c r="A12" s="4">
        <v>1</v>
      </c>
      <c r="B12" s="1"/>
      <c r="C12" s="1" t="s">
        <v>441</v>
      </c>
      <c r="D12" s="15"/>
      <c r="E12" s="582">
        <v>29697422</v>
      </c>
      <c r="F12" s="583" t="s">
        <v>442</v>
      </c>
      <c r="G12" s="19">
        <f>+E12</f>
        <v>29697422</v>
      </c>
      <c r="H12" s="91" t="str">
        <f>"(Attachment 4, Line "&amp;'4 - Cost Support'!A117&amp;")"</f>
        <v>(Attachment 4, Line 41)</v>
      </c>
      <c r="I12" s="1"/>
    </row>
    <row r="13" spans="1:9">
      <c r="A13" s="4">
        <f>+A12+1</f>
        <v>2</v>
      </c>
      <c r="B13" s="1"/>
      <c r="C13" s="356" t="s">
        <v>443</v>
      </c>
      <c r="D13" s="1"/>
      <c r="E13" s="584">
        <v>0</v>
      </c>
      <c r="F13" s="585" t="s">
        <v>442</v>
      </c>
      <c r="G13" s="586">
        <f t="shared" ref="G13:G14" si="0">+E13</f>
        <v>0</v>
      </c>
      <c r="H13" s="15"/>
      <c r="I13" s="1"/>
    </row>
    <row r="14" spans="1:9">
      <c r="A14" s="4">
        <f>+A13+1</f>
        <v>3</v>
      </c>
      <c r="B14" s="1"/>
      <c r="C14" s="356" t="s">
        <v>443</v>
      </c>
      <c r="D14" s="1"/>
      <c r="E14" s="587">
        <v>0</v>
      </c>
      <c r="F14" s="588" t="s">
        <v>442</v>
      </c>
      <c r="G14" s="589">
        <f t="shared" si="0"/>
        <v>0</v>
      </c>
      <c r="H14" s="15"/>
      <c r="I14" s="1"/>
    </row>
    <row r="15" spans="1:9">
      <c r="A15" s="4">
        <f>+A14+1</f>
        <v>4</v>
      </c>
      <c r="B15" s="25" t="s">
        <v>444</v>
      </c>
      <c r="C15" s="1"/>
      <c r="D15" s="15"/>
      <c r="E15" s="582">
        <f>+E12+E13+E14</f>
        <v>29697422</v>
      </c>
      <c r="F15" s="585" t="s">
        <v>442</v>
      </c>
      <c r="G15" s="586">
        <f>+E15</f>
        <v>29697422</v>
      </c>
      <c r="H15" s="15"/>
      <c r="I15" s="1"/>
    </row>
    <row r="16" spans="1:9">
      <c r="A16" s="1"/>
      <c r="B16" s="1"/>
      <c r="C16" s="1"/>
      <c r="D16" s="7"/>
      <c r="E16" s="590"/>
      <c r="F16" s="19"/>
      <c r="G16" s="591"/>
      <c r="H16" s="7"/>
      <c r="I16" s="1"/>
    </row>
    <row r="17" spans="1:13">
      <c r="A17" s="4"/>
      <c r="B17" s="25" t="s">
        <v>445</v>
      </c>
      <c r="C17" s="1"/>
      <c r="D17" s="7"/>
      <c r="E17" s="592"/>
      <c r="F17" s="591"/>
      <c r="G17" s="591"/>
      <c r="H17" s="7"/>
      <c r="I17" s="1"/>
      <c r="J17" s="1"/>
      <c r="K17" s="1"/>
      <c r="L17" s="1"/>
      <c r="M17" s="1"/>
    </row>
    <row r="18" spans="1:13" s="1" customFormat="1">
      <c r="A18" s="4"/>
      <c r="D18" s="7"/>
      <c r="E18" s="592"/>
      <c r="F18" s="591"/>
      <c r="G18" s="591"/>
      <c r="H18" s="7"/>
    </row>
    <row r="19" spans="1:13" s="1" customFormat="1">
      <c r="A19" s="4">
        <f>+A15+1</f>
        <v>5</v>
      </c>
      <c r="C19" s="355" t="s">
        <v>443</v>
      </c>
      <c r="D19" s="15"/>
      <c r="E19" s="593">
        <v>0</v>
      </c>
      <c r="F19" s="594"/>
      <c r="G19" s="595"/>
      <c r="H19" s="15"/>
      <c r="K19" s="179"/>
      <c r="L19" s="179"/>
      <c r="M19" s="179"/>
    </row>
    <row r="20" spans="1:13" s="1" customFormat="1">
      <c r="A20" s="4">
        <f>+A19+1</f>
        <v>6</v>
      </c>
      <c r="B20" s="25" t="s">
        <v>446</v>
      </c>
      <c r="D20" s="15"/>
      <c r="E20" s="29">
        <f>SUM(E19:E19)</f>
        <v>0</v>
      </c>
      <c r="F20" s="543">
        <f>+'Appendix A'!H27</f>
        <v>0.26818076319772116</v>
      </c>
      <c r="G20" s="29">
        <f>+E20*F20</f>
        <v>0</v>
      </c>
      <c r="H20" s="29"/>
      <c r="K20" s="179"/>
      <c r="L20" s="179"/>
      <c r="M20" s="179"/>
    </row>
    <row r="21" spans="1:13" s="1" customFormat="1" ht="12.75" customHeight="1">
      <c r="A21" s="4"/>
      <c r="D21" s="15"/>
      <c r="E21" s="26"/>
      <c r="F21" s="15"/>
      <c r="G21" s="27"/>
      <c r="H21" s="27"/>
      <c r="K21" s="179"/>
      <c r="L21" s="179"/>
      <c r="M21" s="179"/>
    </row>
    <row r="22" spans="1:13" s="1" customFormat="1" ht="12.75" customHeight="1">
      <c r="A22" s="4"/>
      <c r="B22" s="25" t="s">
        <v>365</v>
      </c>
      <c r="D22" s="15"/>
      <c r="E22" s="26"/>
      <c r="F22" s="7" t="s">
        <v>447</v>
      </c>
      <c r="G22" s="15"/>
      <c r="H22" s="15"/>
      <c r="K22" s="179"/>
      <c r="L22" s="179"/>
      <c r="M22" s="179"/>
    </row>
    <row r="23" spans="1:13" s="1" customFormat="1" ht="12.75" customHeight="1">
      <c r="A23" s="4"/>
      <c r="D23" s="15"/>
      <c r="E23" s="26"/>
      <c r="F23" s="15"/>
      <c r="G23" s="15"/>
      <c r="H23" s="15"/>
      <c r="K23" s="179"/>
      <c r="L23" s="179"/>
      <c r="M23" s="179"/>
    </row>
    <row r="24" spans="1:13" s="1" customFormat="1">
      <c r="A24" s="4">
        <f>+A20+1</f>
        <v>7</v>
      </c>
      <c r="C24" s="1" t="s">
        <v>448</v>
      </c>
      <c r="E24" s="29">
        <f>+'4 - Cost Support'!S118</f>
        <v>0</v>
      </c>
      <c r="K24" s="179"/>
      <c r="L24" s="179"/>
      <c r="M24" s="179"/>
    </row>
    <row r="25" spans="1:13" s="1" customFormat="1">
      <c r="A25" s="4">
        <f>1+A24</f>
        <v>8</v>
      </c>
      <c r="C25" s="1" t="s">
        <v>449</v>
      </c>
      <c r="E25" s="29">
        <f>+'4 - Cost Support'!S119</f>
        <v>627093</v>
      </c>
      <c r="K25" s="179"/>
      <c r="L25" s="179"/>
      <c r="M25" s="179"/>
    </row>
    <row r="26" spans="1:13" s="1" customFormat="1">
      <c r="A26" s="4">
        <f>1+A25</f>
        <v>9</v>
      </c>
      <c r="C26" s="355" t="s">
        <v>450</v>
      </c>
      <c r="E26" s="817">
        <v>1409148</v>
      </c>
      <c r="F26" s="6"/>
      <c r="G26" s="6"/>
      <c r="H26" s="71"/>
      <c r="K26" s="179"/>
      <c r="L26" s="179"/>
      <c r="M26" s="179"/>
    </row>
    <row r="27" spans="1:13">
      <c r="A27" s="4">
        <f>1+A26</f>
        <v>10</v>
      </c>
      <c r="B27" s="25" t="s">
        <v>451</v>
      </c>
      <c r="C27" s="1"/>
      <c r="D27" s="1"/>
      <c r="E27" s="29">
        <f>SUM(E24:E26)</f>
        <v>2036241</v>
      </c>
      <c r="F27" s="664">
        <f>+'Appendix A'!H16</f>
        <v>0.12508709030780155</v>
      </c>
      <c r="G27" s="29">
        <f>+E27*F27</f>
        <v>254707.46185544814</v>
      </c>
      <c r="H27" s="29"/>
      <c r="I27" s="1"/>
      <c r="J27" s="1"/>
      <c r="K27" s="179"/>
      <c r="L27" s="179"/>
      <c r="M27" s="179"/>
    </row>
    <row r="28" spans="1:13">
      <c r="A28" s="4"/>
      <c r="B28" s="25"/>
      <c r="C28" s="1"/>
      <c r="D28" s="1"/>
      <c r="E28" s="29"/>
      <c r="F28" s="665"/>
      <c r="G28" s="29"/>
      <c r="H28" s="29"/>
      <c r="I28" s="1"/>
      <c r="J28" s="1"/>
      <c r="K28" s="179"/>
      <c r="L28" s="179"/>
      <c r="M28" s="179"/>
    </row>
    <row r="29" spans="1:13" s="1" customFormat="1" ht="15.75" thickBot="1">
      <c r="A29" s="4">
        <f>+A27+1</f>
        <v>11</v>
      </c>
      <c r="B29" s="25" t="s">
        <v>452</v>
      </c>
      <c r="E29" s="633">
        <f>+E15+E20+E27</f>
        <v>31733663</v>
      </c>
      <c r="F29" s="666"/>
      <c r="G29" s="633">
        <f>+G15+G20+G27</f>
        <v>29952129.461855449</v>
      </c>
      <c r="H29" s="313"/>
      <c r="K29" s="179"/>
      <c r="L29" s="179"/>
      <c r="M29" s="179"/>
    </row>
    <row r="30" spans="1:13" s="1" customFormat="1" ht="15.75" thickTop="1">
      <c r="A30" s="4"/>
      <c r="C30" s="2"/>
      <c r="E30" s="3"/>
      <c r="K30" s="179"/>
      <c r="L30" s="179"/>
      <c r="M30" s="179"/>
    </row>
    <row r="31" spans="1:13" s="1" customFormat="1">
      <c r="A31" s="4"/>
      <c r="C31" s="2"/>
      <c r="E31" s="3"/>
      <c r="F31" s="29"/>
      <c r="K31" s="179"/>
      <c r="L31" s="179"/>
      <c r="M31" s="179"/>
    </row>
    <row r="32" spans="1:13">
      <c r="A32" s="4"/>
      <c r="B32" s="1"/>
      <c r="C32" s="25" t="s">
        <v>975</v>
      </c>
      <c r="D32" s="1"/>
      <c r="E32" s="3"/>
      <c r="F32" s="1"/>
      <c r="G32" s="1"/>
      <c r="H32" s="1"/>
      <c r="I32" s="1"/>
      <c r="J32" s="1"/>
      <c r="K32" s="179"/>
      <c r="L32" s="179"/>
      <c r="M32" s="179"/>
    </row>
    <row r="33" spans="1:13" s="1" customFormat="1">
      <c r="A33" s="4"/>
      <c r="E33" s="3"/>
      <c r="G33" s="25"/>
      <c r="H33" s="25"/>
      <c r="K33" s="179"/>
      <c r="L33" s="179"/>
      <c r="M33" s="179"/>
    </row>
    <row r="34" spans="1:13">
      <c r="A34" s="4">
        <f>1+A29</f>
        <v>12</v>
      </c>
      <c r="B34" s="1"/>
      <c r="C34" s="357" t="s">
        <v>453</v>
      </c>
      <c r="D34" s="1"/>
      <c r="E34" s="781">
        <v>0</v>
      </c>
      <c r="F34" s="13"/>
      <c r="G34" s="1"/>
      <c r="H34" s="1"/>
      <c r="I34" s="1"/>
      <c r="J34" s="1"/>
      <c r="K34" s="179"/>
      <c r="L34" s="179"/>
      <c r="M34" s="179"/>
    </row>
    <row r="35" spans="1:13">
      <c r="A35" s="4">
        <f>1+A34</f>
        <v>13</v>
      </c>
      <c r="B35" s="1"/>
      <c r="C35" s="357" t="s">
        <v>454</v>
      </c>
      <c r="D35" s="1"/>
      <c r="E35" s="781">
        <v>0</v>
      </c>
      <c r="F35" s="13"/>
      <c r="G35" s="1"/>
      <c r="H35" s="1"/>
      <c r="I35" s="1"/>
      <c r="J35" s="1"/>
      <c r="K35" s="179"/>
      <c r="L35" s="179"/>
      <c r="M35" s="179"/>
    </row>
    <row r="36" spans="1:13">
      <c r="A36" s="4">
        <f t="shared" ref="A36:A41" si="1">1+A35</f>
        <v>14</v>
      </c>
      <c r="B36" s="1"/>
      <c r="C36" s="357" t="s">
        <v>970</v>
      </c>
      <c r="D36" s="1"/>
      <c r="E36" s="781">
        <v>0</v>
      </c>
      <c r="F36" s="13"/>
      <c r="G36" s="1"/>
      <c r="H36" s="1"/>
      <c r="I36" s="1"/>
      <c r="J36" s="1"/>
      <c r="K36" s="179"/>
      <c r="L36" s="179"/>
      <c r="M36" s="179"/>
    </row>
    <row r="37" spans="1:13">
      <c r="A37" s="4">
        <f t="shared" si="1"/>
        <v>15</v>
      </c>
      <c r="B37" s="1"/>
      <c r="C37" s="357" t="s">
        <v>971</v>
      </c>
      <c r="D37" s="1"/>
      <c r="E37" s="781">
        <v>0</v>
      </c>
      <c r="F37" s="13"/>
      <c r="G37" s="1"/>
      <c r="H37" s="1"/>
      <c r="I37" s="1"/>
      <c r="J37" s="1"/>
      <c r="K37" s="179"/>
      <c r="L37" s="179"/>
      <c r="M37" s="179"/>
    </row>
    <row r="38" spans="1:13">
      <c r="A38" s="4">
        <f t="shared" si="1"/>
        <v>16</v>
      </c>
      <c r="B38" s="1"/>
      <c r="C38" s="355" t="s">
        <v>972</v>
      </c>
      <c r="D38" s="15"/>
      <c r="E38" s="775">
        <v>0</v>
      </c>
      <c r="F38" s="13"/>
      <c r="G38" s="1"/>
      <c r="H38" s="1"/>
      <c r="I38" s="1"/>
      <c r="J38" s="1"/>
      <c r="K38" s="179"/>
      <c r="L38" s="179"/>
      <c r="M38" s="179"/>
    </row>
    <row r="39" spans="1:13">
      <c r="A39" s="4">
        <f t="shared" si="1"/>
        <v>17</v>
      </c>
      <c r="B39" s="1"/>
      <c r="C39" s="355" t="s">
        <v>973</v>
      </c>
      <c r="D39" s="15"/>
      <c r="E39" s="775">
        <v>0</v>
      </c>
      <c r="F39" s="13"/>
      <c r="G39" s="1"/>
      <c r="H39" s="1"/>
      <c r="I39" s="1"/>
      <c r="J39" s="1"/>
      <c r="K39" s="179"/>
      <c r="L39" s="179"/>
      <c r="M39" s="179"/>
    </row>
    <row r="40" spans="1:13">
      <c r="A40" s="4">
        <f t="shared" si="1"/>
        <v>18</v>
      </c>
      <c r="B40" s="1"/>
      <c r="C40" s="355" t="s">
        <v>974</v>
      </c>
      <c r="D40" s="1"/>
      <c r="E40" s="775">
        <v>0</v>
      </c>
      <c r="F40" s="13"/>
      <c r="G40" s="1"/>
      <c r="H40" s="1"/>
      <c r="I40" s="1"/>
      <c r="J40" s="1"/>
      <c r="K40" s="179"/>
      <c r="L40" s="179"/>
      <c r="M40" s="179"/>
    </row>
    <row r="41" spans="1:13" s="1" customFormat="1" ht="15.75">
      <c r="A41" s="4">
        <f t="shared" si="1"/>
        <v>19</v>
      </c>
      <c r="C41" s="433" t="s">
        <v>455</v>
      </c>
      <c r="E41" s="667">
        <f>SUM(E34:E40)</f>
        <v>0</v>
      </c>
      <c r="K41" s="179"/>
      <c r="L41" s="179"/>
      <c r="M41" s="179"/>
    </row>
    <row r="42" spans="1:13" s="1" customFormat="1">
      <c r="A42" s="4"/>
      <c r="E42" s="597"/>
      <c r="K42" s="179"/>
      <c r="L42" s="179"/>
      <c r="M42" s="179"/>
    </row>
    <row r="43" spans="1:13" ht="15.75">
      <c r="A43" s="4">
        <f>1+A41</f>
        <v>20</v>
      </c>
      <c r="B43" s="433" t="s">
        <v>456</v>
      </c>
      <c r="C43" s="433"/>
      <c r="D43" s="1"/>
      <c r="E43" s="668">
        <f>+E29+E41</f>
        <v>31733663</v>
      </c>
      <c r="F43" s="1"/>
      <c r="G43" s="1"/>
      <c r="H43" s="1"/>
      <c r="I43" s="1"/>
      <c r="J43" s="1"/>
      <c r="K43" s="179"/>
      <c r="L43" s="179"/>
      <c r="M43" s="179"/>
    </row>
    <row r="44" spans="1:13">
      <c r="A44" s="4"/>
      <c r="B44" s="1"/>
      <c r="C44" s="1"/>
      <c r="D44" s="1"/>
      <c r="E44" s="597"/>
      <c r="F44" s="1"/>
      <c r="G44" s="1"/>
      <c r="H44" s="1"/>
      <c r="I44" s="1"/>
      <c r="J44" s="1"/>
      <c r="K44" s="179"/>
      <c r="L44" s="179"/>
      <c r="M44" s="179"/>
    </row>
    <row r="45" spans="1:13" ht="15.75">
      <c r="A45" s="4">
        <f>1+A43</f>
        <v>21</v>
      </c>
      <c r="B45" s="832" t="s">
        <v>960</v>
      </c>
      <c r="C45" s="832"/>
      <c r="D45" s="669"/>
      <c r="E45" s="596">
        <v>0</v>
      </c>
      <c r="F45" s="30"/>
      <c r="G45" s="30"/>
      <c r="H45" s="30"/>
      <c r="I45" s="1"/>
      <c r="J45" s="1"/>
      <c r="K45" s="179"/>
      <c r="L45" s="179"/>
      <c r="M45" s="179"/>
    </row>
    <row r="46" spans="1:13">
      <c r="A46" s="1"/>
      <c r="B46" s="1"/>
      <c r="C46" s="670"/>
      <c r="D46" s="670"/>
      <c r="E46" s="586"/>
      <c r="F46" s="30"/>
      <c r="G46" s="30"/>
      <c r="H46" s="30"/>
      <c r="I46" s="1"/>
      <c r="J46" s="1"/>
      <c r="K46" s="179"/>
      <c r="L46" s="179"/>
      <c r="M46" s="179"/>
    </row>
    <row r="47" spans="1:13">
      <c r="A47" s="4">
        <f>1+A45</f>
        <v>22</v>
      </c>
      <c r="B47" s="1"/>
      <c r="C47" s="670" t="s">
        <v>457</v>
      </c>
      <c r="D47" s="670"/>
      <c r="E47" s="671">
        <f>+E43-E45</f>
        <v>31733663</v>
      </c>
      <c r="F47" s="1"/>
      <c r="G47" s="30"/>
      <c r="H47" s="30"/>
      <c r="I47" s="1"/>
      <c r="J47" s="1"/>
      <c r="K47" s="179"/>
      <c r="L47" s="179"/>
      <c r="M47" s="179"/>
    </row>
    <row r="48" spans="1:13">
      <c r="A48" s="1"/>
      <c r="B48" s="1"/>
      <c r="C48" s="670"/>
      <c r="D48" s="670"/>
      <c r="E48" s="672"/>
      <c r="F48" s="30"/>
      <c r="G48" s="30"/>
      <c r="H48" s="30"/>
      <c r="I48" s="1"/>
      <c r="J48" s="1"/>
      <c r="K48" s="1"/>
      <c r="L48" s="1"/>
      <c r="M48" s="1"/>
    </row>
    <row r="49" spans="2:8">
      <c r="B49" s="1"/>
      <c r="C49" s="670"/>
      <c r="D49" s="670"/>
      <c r="E49" s="672"/>
      <c r="F49" s="30"/>
      <c r="G49" s="30"/>
      <c r="H49" s="30"/>
    </row>
    <row r="50" spans="2:8">
      <c r="B50" s="1"/>
      <c r="C50" s="670"/>
      <c r="D50" s="670"/>
      <c r="E50" s="672"/>
      <c r="F50" s="30"/>
      <c r="G50" s="30"/>
      <c r="H50" s="30"/>
    </row>
    <row r="51" spans="2:8">
      <c r="B51" s="1"/>
      <c r="C51" s="670"/>
      <c r="D51" s="670"/>
      <c r="E51" s="672"/>
      <c r="F51" s="30"/>
      <c r="G51" s="30"/>
      <c r="H51" s="30"/>
    </row>
    <row r="52" spans="2:8" ht="25.15" customHeight="1">
      <c r="B52" s="1"/>
      <c r="C52" s="1"/>
      <c r="D52" s="1"/>
      <c r="E52" s="29"/>
      <c r="F52" s="13"/>
      <c r="G52" s="13"/>
      <c r="H52" s="13"/>
    </row>
    <row r="53" spans="2:8" ht="25.15" customHeight="1">
      <c r="B53" s="1"/>
      <c r="C53" s="1"/>
      <c r="D53" s="1"/>
      <c r="E53" s="29"/>
      <c r="F53" s="13"/>
      <c r="G53" s="13"/>
      <c r="H53" s="13"/>
    </row>
    <row r="54" spans="2:8" ht="25.15" customHeight="1">
      <c r="B54" s="1"/>
      <c r="C54" s="2"/>
      <c r="D54" s="1"/>
      <c r="E54" s="29"/>
      <c r="F54" s="1"/>
      <c r="G54" s="13"/>
      <c r="H54" s="13"/>
    </row>
    <row r="55" spans="2:8" ht="25.15" customHeight="1">
      <c r="B55" s="1"/>
      <c r="C55" s="1"/>
      <c r="D55" s="1"/>
      <c r="E55" s="29"/>
      <c r="F55" s="1"/>
      <c r="G55" s="13"/>
      <c r="H55" s="13"/>
    </row>
    <row r="56" spans="2:8" ht="25.15" customHeight="1">
      <c r="B56" s="1"/>
      <c r="C56" s="2"/>
      <c r="D56" s="1"/>
      <c r="E56" s="29"/>
      <c r="F56" s="1"/>
      <c r="G56" s="13"/>
      <c r="H56" s="13"/>
    </row>
    <row r="57" spans="2:8" ht="25.15" customHeight="1">
      <c r="B57" s="1"/>
      <c r="C57" s="1"/>
      <c r="D57" s="1"/>
      <c r="E57" s="29"/>
      <c r="F57" s="1"/>
      <c r="G57" s="13"/>
      <c r="H57" s="13"/>
    </row>
    <row r="58" spans="2:8" ht="25.15" customHeight="1">
      <c r="B58" s="1"/>
      <c r="C58" s="2"/>
      <c r="D58" s="1"/>
      <c r="E58" s="29"/>
      <c r="F58" s="1"/>
      <c r="G58" s="13"/>
      <c r="H58" s="13"/>
    </row>
    <row r="59" spans="2:8" ht="25.15" customHeight="1">
      <c r="B59" s="1"/>
      <c r="C59" s="1"/>
      <c r="D59" s="1"/>
      <c r="E59" s="29"/>
      <c r="F59" s="1"/>
      <c r="G59" s="1"/>
      <c r="H59" s="1"/>
    </row>
    <row r="60" spans="2:8" ht="25.15" customHeight="1">
      <c r="B60" s="1"/>
      <c r="C60" s="1"/>
      <c r="D60" s="1"/>
      <c r="E60" s="3"/>
      <c r="F60" s="1"/>
      <c r="G60" s="1"/>
      <c r="H60" s="1"/>
    </row>
    <row r="61" spans="2:8" ht="25.15" customHeight="1">
      <c r="B61" s="1"/>
      <c r="C61" s="1"/>
      <c r="D61" s="1"/>
      <c r="E61" s="3"/>
      <c r="F61" s="1"/>
      <c r="G61" s="1"/>
      <c r="H61" s="1"/>
    </row>
    <row r="62" spans="2:8">
      <c r="B62" s="1"/>
      <c r="C62" s="1"/>
      <c r="D62" s="1"/>
      <c r="E62" s="3"/>
      <c r="F62" s="1"/>
      <c r="G62" s="1"/>
      <c r="H62" s="1"/>
    </row>
    <row r="63" spans="2:8">
      <c r="B63" s="1"/>
      <c r="C63" s="1"/>
      <c r="D63" s="1"/>
      <c r="E63" s="3"/>
      <c r="F63" s="1"/>
      <c r="G63" s="1"/>
      <c r="H63" s="1"/>
    </row>
    <row r="64" spans="2:8">
      <c r="B64" s="1"/>
      <c r="C64" s="1"/>
      <c r="D64" s="1"/>
      <c r="E64" s="3"/>
      <c r="F64" s="1"/>
      <c r="G64" s="1"/>
      <c r="H64" s="1"/>
    </row>
    <row r="65" spans="3:3">
      <c r="C65" s="1"/>
    </row>
  </sheetData>
  <customSheetViews>
    <customSheetView guid="{3A38DF7A-C35E-4DD3-9893-26310A3EF836}" scale="75" showPageBreaks="1" fitToPage="1" showRuler="0" topLeftCell="A19">
      <selection activeCell="G41" sqref="G41"/>
      <pageMargins left="0" right="0" top="0" bottom="0" header="0" footer="0"/>
      <pageSetup scale="74" orientation="portrait" r:id="rId1"/>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2"/>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3"/>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4"/>
      <headerFooter alignWithMargins="0">
        <oddHeader>&amp;R&amp;12Page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6"/>
      <headerFooter alignWithMargins="0">
        <oddHeader>&amp;R&amp;14Page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7"/>
      <headerFooter alignWithMargins="0">
        <oddHeader>&amp;R&amp;12Page &amp;P of &amp;N</oddHeader>
      </headerFooter>
    </customSheetView>
    <customSheetView guid="{DC91DEF3-837B-4BB9-A81E-3B78C5914E6C}" scale="75" showPageBreaks="1" fitToPage="1" showRuler="0" topLeftCell="A37">
      <selection activeCell="B71" sqref="B71:C74"/>
      <pageMargins left="0" right="0" top="0" bottom="0" header="0" footer="0"/>
      <pageSetup scale="71"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9" orientation="portrait" r:id="rId9"/>
      <headerFooter alignWithMargins="0"/>
    </customSheetView>
  </customSheetViews>
  <mergeCells count="3">
    <mergeCell ref="A4:H4"/>
    <mergeCell ref="A2:H2"/>
    <mergeCell ref="A3:H3"/>
  </mergeCells>
  <phoneticPr fontId="0" type="noConversion"/>
  <printOptions horizontalCentered="1"/>
  <pageMargins left="0.75" right="0.75" top="1" bottom="1" header="0.5" footer="0.5"/>
  <pageSetup scale="53" orientation="portrait"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M45"/>
  <sheetViews>
    <sheetView showGridLines="0" topLeftCell="A6" zoomScale="75" zoomScaleNormal="75" workbookViewId="0">
      <selection activeCell="F21" sqref="F21"/>
    </sheetView>
  </sheetViews>
  <sheetFormatPr defaultColWidth="9.28515625" defaultRowHeight="15"/>
  <cols>
    <col min="1" max="1" width="7.28515625" style="4" customWidth="1"/>
    <col min="2" max="2" width="120.5703125" style="1" customWidth="1"/>
    <col min="3" max="3" width="23.7109375" style="1" customWidth="1"/>
    <col min="4" max="4" width="17" style="14" bestFit="1" customWidth="1"/>
    <col min="5" max="5" width="17.5703125" style="1" customWidth="1"/>
    <col min="6" max="6" width="9.28515625" style="1"/>
    <col min="7" max="7" width="12.5703125" style="1" bestFit="1" customWidth="1"/>
    <col min="8" max="9" width="9.28515625" style="1"/>
    <col min="10" max="10" width="13.28515625" style="1" bestFit="1" customWidth="1"/>
    <col min="11" max="14" width="9.28515625" style="1"/>
    <col min="15" max="15" width="14.5703125" style="1" bestFit="1" customWidth="1"/>
    <col min="16" max="16384" width="9.28515625" style="1"/>
  </cols>
  <sheetData>
    <row r="1" spans="1:7" ht="18">
      <c r="A1" s="31"/>
      <c r="B1" s="18"/>
      <c r="C1" s="18"/>
      <c r="D1" s="32"/>
    </row>
    <row r="2" spans="1:7" ht="18">
      <c r="A2" s="905" t="str">
        <f>+'Appendix A'!A3</f>
        <v>Dayton Power and Light</v>
      </c>
      <c r="B2" s="905"/>
      <c r="C2" s="905"/>
      <c r="D2" s="905"/>
    </row>
    <row r="3" spans="1:7" ht="18">
      <c r="A3" s="905" t="str">
        <f>+'Appendix A'!A4</f>
        <v xml:space="preserve">ATTACHMENT H-15A </v>
      </c>
      <c r="B3" s="905"/>
      <c r="C3" s="905"/>
      <c r="D3" s="905"/>
      <c r="E3" s="627"/>
    </row>
    <row r="4" spans="1:7" ht="18">
      <c r="A4" s="905" t="s">
        <v>995</v>
      </c>
      <c r="B4" s="905"/>
      <c r="C4" s="905"/>
      <c r="D4" s="905"/>
    </row>
    <row r="5" spans="1:7">
      <c r="B5" s="13"/>
      <c r="C5" s="4"/>
    </row>
    <row r="6" spans="1:7">
      <c r="A6" s="2" t="s">
        <v>411</v>
      </c>
      <c r="B6" s="13"/>
      <c r="C6" s="4"/>
      <c r="D6" s="7"/>
    </row>
    <row r="7" spans="1:7">
      <c r="B7" s="13"/>
      <c r="C7" s="4"/>
      <c r="D7" s="10"/>
    </row>
    <row r="8" spans="1:7">
      <c r="B8" s="13"/>
      <c r="C8" s="4"/>
    </row>
    <row r="9" spans="1:7" ht="15" customHeight="1">
      <c r="C9" s="4"/>
      <c r="D9" s="434"/>
    </row>
    <row r="10" spans="1:7" ht="15.75">
      <c r="B10" s="435" t="s">
        <v>458</v>
      </c>
      <c r="C10" s="4"/>
      <c r="D10" s="598"/>
    </row>
    <row r="11" spans="1:7">
      <c r="A11" s="4">
        <v>1</v>
      </c>
      <c r="B11" s="2" t="s">
        <v>459</v>
      </c>
      <c r="C11" s="4"/>
      <c r="D11" s="784">
        <v>0</v>
      </c>
      <c r="E11" s="71" t="s">
        <v>460</v>
      </c>
    </row>
    <row r="12" spans="1:7" ht="15.75">
      <c r="B12" s="435"/>
      <c r="C12" s="4"/>
      <c r="D12" s="782"/>
    </row>
    <row r="13" spans="1:7" ht="15.75">
      <c r="B13" s="433" t="s">
        <v>461</v>
      </c>
      <c r="D13" s="782"/>
    </row>
    <row r="14" spans="1:7">
      <c r="A14" s="4">
        <f>+A11+1</f>
        <v>2</v>
      </c>
      <c r="B14" s="1" t="s">
        <v>462</v>
      </c>
      <c r="D14" s="91">
        <v>-28666</v>
      </c>
      <c r="E14" s="71" t="s">
        <v>460</v>
      </c>
      <c r="G14" s="71"/>
    </row>
    <row r="15" spans="1:7">
      <c r="A15" s="4">
        <f>+A14+1</f>
        <v>3</v>
      </c>
      <c r="B15" s="1" t="s">
        <v>463</v>
      </c>
      <c r="D15" s="91">
        <v>0</v>
      </c>
      <c r="E15" s="71" t="s">
        <v>460</v>
      </c>
    </row>
    <row r="16" spans="1:7">
      <c r="A16" s="4">
        <f t="shared" ref="A16:A17" si="0">+A15+1</f>
        <v>4</v>
      </c>
      <c r="B16" s="1" t="s">
        <v>464</v>
      </c>
      <c r="D16" s="91">
        <v>0</v>
      </c>
      <c r="E16" s="71" t="s">
        <v>460</v>
      </c>
    </row>
    <row r="17" spans="1:39">
      <c r="A17" s="4">
        <f t="shared" si="0"/>
        <v>5</v>
      </c>
      <c r="B17" s="1" t="s">
        <v>465</v>
      </c>
      <c r="D17" s="785">
        <v>0</v>
      </c>
      <c r="E17" s="71" t="s">
        <v>460</v>
      </c>
    </row>
    <row r="18" spans="1:39">
      <c r="A18" s="4">
        <f>+A17+1</f>
        <v>6</v>
      </c>
      <c r="B18" s="1" t="s">
        <v>466</v>
      </c>
      <c r="D18" s="783">
        <f>+SUM(D14:D17)</f>
        <v>-28666</v>
      </c>
      <c r="E18" s="71"/>
    </row>
    <row r="19" spans="1:39">
      <c r="D19" s="782"/>
      <c r="E19" s="71"/>
    </row>
    <row r="20" spans="1:39" s="16" customFormat="1" ht="15.75">
      <c r="A20" s="4"/>
      <c r="B20" s="433" t="s">
        <v>467</v>
      </c>
      <c r="C20" s="1"/>
      <c r="D20" s="91"/>
      <c r="E20" s="7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s="16" customFormat="1">
      <c r="A21" s="4">
        <f>+A18+1</f>
        <v>7</v>
      </c>
      <c r="B21" s="2" t="s">
        <v>468</v>
      </c>
      <c r="C21" s="15"/>
      <c r="D21" s="91">
        <v>-1260339</v>
      </c>
      <c r="E21" s="71" t="s">
        <v>460</v>
      </c>
      <c r="F21" s="842" t="s">
        <v>1031</v>
      </c>
      <c r="G21" s="843"/>
      <c r="H21" s="842"/>
      <c r="I21" s="842"/>
      <c r="J21" s="842"/>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s="16" customFormat="1">
      <c r="A22" s="4">
        <f>+A21+1</f>
        <v>8</v>
      </c>
      <c r="B22" s="1" t="s">
        <v>469</v>
      </c>
      <c r="C22" s="1"/>
      <c r="D22" s="91">
        <v>0</v>
      </c>
      <c r="E22" s="71" t="s">
        <v>460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s="16" customFormat="1">
      <c r="A23" s="4">
        <f>+A22+1</f>
        <v>9</v>
      </c>
      <c r="B23" s="1" t="s">
        <v>470</v>
      </c>
      <c r="C23" s="1"/>
      <c r="D23" s="91">
        <v>0</v>
      </c>
      <c r="E23" s="71" t="s">
        <v>460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c r="A24" s="4">
        <f>+A23+1</f>
        <v>10</v>
      </c>
      <c r="B24" s="1" t="s">
        <v>471</v>
      </c>
      <c r="D24" s="91">
        <v>0</v>
      </c>
      <c r="E24" s="71" t="s">
        <v>460</v>
      </c>
    </row>
    <row r="25" spans="1:39">
      <c r="A25" s="4">
        <f>+A24+1</f>
        <v>11</v>
      </c>
      <c r="B25" s="1" t="s">
        <v>472</v>
      </c>
      <c r="D25" s="785">
        <f>-7334-93424</f>
        <v>-100758</v>
      </c>
      <c r="E25" s="71" t="s">
        <v>460</v>
      </c>
    </row>
    <row r="26" spans="1:39">
      <c r="A26" s="4">
        <f>+A25+1</f>
        <v>12</v>
      </c>
      <c r="B26" s="1" t="s">
        <v>473</v>
      </c>
      <c r="D26" s="91">
        <f>+SUM(D21:D25)</f>
        <v>-1361097</v>
      </c>
      <c r="E26" s="71"/>
    </row>
    <row r="27" spans="1:39" ht="30" customHeight="1">
      <c r="B27" s="433" t="s">
        <v>474</v>
      </c>
      <c r="D27" s="91"/>
      <c r="E27" s="71"/>
    </row>
    <row r="28" spans="1:39" ht="45">
      <c r="A28" s="432">
        <f>+A26+1</f>
        <v>13</v>
      </c>
      <c r="B28" s="15" t="s">
        <v>475</v>
      </c>
      <c r="C28" s="15"/>
      <c r="D28" s="784">
        <v>0</v>
      </c>
      <c r="E28" s="71" t="s">
        <v>460</v>
      </c>
    </row>
    <row r="29" spans="1:39">
      <c r="A29" s="4">
        <f>+A28+1</f>
        <v>14</v>
      </c>
      <c r="B29" s="1" t="s">
        <v>476</v>
      </c>
      <c r="C29" s="15"/>
      <c r="D29" s="91">
        <v>-885687</v>
      </c>
      <c r="E29" s="71" t="s">
        <v>460</v>
      </c>
    </row>
    <row r="30" spans="1:39">
      <c r="A30" s="4">
        <f>+A29+1</f>
        <v>15</v>
      </c>
      <c r="B30" s="1" t="s">
        <v>477</v>
      </c>
      <c r="C30" s="15"/>
      <c r="D30" s="691">
        <f>+D28+D29</f>
        <v>-885687</v>
      </c>
      <c r="E30" s="71"/>
    </row>
    <row r="31" spans="1:39" ht="30">
      <c r="A31" s="4">
        <f>+A29+1</f>
        <v>15</v>
      </c>
      <c r="B31" s="1" t="s">
        <v>478</v>
      </c>
      <c r="C31" s="436" t="str">
        <f>"(Sum of Lines "&amp;A11&amp;", "&amp;A18&amp;", "&amp;A26&amp;" and "&amp;A30&amp;")"</f>
        <v>(Sum of Lines 1, 6, 12 and 15)</v>
      </c>
      <c r="D31" s="342">
        <f>+D11+D18+D26+D30</f>
        <v>-2275450</v>
      </c>
      <c r="G31" s="19"/>
    </row>
    <row r="32" spans="1:39">
      <c r="D32" s="599"/>
      <c r="E32" s="71"/>
      <c r="F32" s="71"/>
      <c r="G32" s="71"/>
      <c r="H32" s="71"/>
      <c r="I32" s="71"/>
      <c r="J32" s="71"/>
      <c r="K32" s="71"/>
      <c r="L32" s="71"/>
      <c r="M32" s="71"/>
      <c r="N32" s="71"/>
      <c r="O32" s="71"/>
    </row>
    <row r="33" spans="1:16" ht="15.75">
      <c r="A33" s="4">
        <f>+A31+1</f>
        <v>16</v>
      </c>
      <c r="B33" s="1" t="s">
        <v>479</v>
      </c>
      <c r="D33" s="600">
        <f>+D37</f>
        <v>0</v>
      </c>
      <c r="E33" s="73"/>
      <c r="F33" s="73"/>
      <c r="G33" s="73"/>
      <c r="H33" s="73"/>
      <c r="I33" s="73"/>
      <c r="J33" s="73"/>
      <c r="K33" s="73"/>
      <c r="L33" s="73"/>
      <c r="M33" s="73"/>
      <c r="N33" s="73"/>
      <c r="O33" s="73"/>
    </row>
    <row r="34" spans="1:16" ht="15.75">
      <c r="A34" s="4">
        <f>A33+1</f>
        <v>17</v>
      </c>
      <c r="B34" s="1" t="s">
        <v>480</v>
      </c>
      <c r="C34" s="436" t="str">
        <f>"(Line "&amp;A31&amp;" - "&amp;A33&amp;")"</f>
        <v>(Line 15 - 16)</v>
      </c>
      <c r="D34" s="48">
        <f>+D31-D33</f>
        <v>-2275450</v>
      </c>
      <c r="E34" s="79"/>
      <c r="F34" s="73"/>
      <c r="G34" s="73"/>
      <c r="H34" s="73"/>
      <c r="I34" s="73"/>
      <c r="J34" s="79"/>
      <c r="K34" s="73"/>
      <c r="L34" s="73"/>
      <c r="M34" s="73"/>
      <c r="N34" s="73"/>
      <c r="O34" s="73"/>
    </row>
    <row r="35" spans="1:16" ht="15.75">
      <c r="B35" s="11"/>
      <c r="D35" s="599"/>
      <c r="E35" s="5"/>
      <c r="F35" s="5"/>
      <c r="G35" s="5"/>
      <c r="H35" s="5"/>
      <c r="I35" s="5"/>
      <c r="J35" s="5"/>
      <c r="K35" s="71"/>
      <c r="L35" s="71"/>
      <c r="M35" s="71"/>
      <c r="N35" s="71"/>
      <c r="O35" s="71"/>
    </row>
    <row r="36" spans="1:16" ht="28.9" customHeight="1">
      <c r="A36" s="432">
        <f>A34+1</f>
        <v>18</v>
      </c>
      <c r="B36" s="762" t="s">
        <v>481</v>
      </c>
      <c r="C36" s="436" t="str">
        <f>"(Sum of Lines "&amp;A14&amp;" , "&amp;A15&amp;" , "&amp;A16&amp;", "&amp;A22&amp;" and "&amp;A24&amp;")"</f>
        <v>(Sum of Lines 2 , 3 , 4, 8 and 10)</v>
      </c>
      <c r="D36" s="601">
        <v>0</v>
      </c>
      <c r="E36" s="71"/>
      <c r="F36" s="71"/>
      <c r="G36" s="71"/>
      <c r="H36" s="71"/>
      <c r="I36" s="71"/>
      <c r="J36" s="71"/>
      <c r="K36" s="71"/>
      <c r="L36" s="71"/>
      <c r="M36" s="71"/>
      <c r="N36" s="71"/>
      <c r="O36" s="71"/>
      <c r="P36" s="71"/>
    </row>
    <row r="37" spans="1:16" ht="15" customHeight="1">
      <c r="A37" s="432">
        <f>+A36+1</f>
        <v>19</v>
      </c>
      <c r="B37" s="762" t="s">
        <v>482</v>
      </c>
      <c r="C37" s="436" t="str">
        <f>"(50% of Line "&amp;A36&amp;")"</f>
        <v>(50% of Line 18)</v>
      </c>
      <c r="D37" s="601">
        <f>+D36*0.5</f>
        <v>0</v>
      </c>
      <c r="E37" s="71"/>
      <c r="F37" s="71"/>
      <c r="G37" s="71"/>
      <c r="H37" s="71"/>
      <c r="I37" s="71"/>
      <c r="J37" s="71"/>
      <c r="K37" s="71"/>
      <c r="L37" s="71"/>
      <c r="M37" s="71"/>
      <c r="N37" s="71"/>
      <c r="O37" s="190"/>
    </row>
    <row r="38" spans="1:16">
      <c r="A38" s="432"/>
      <c r="D38" s="600"/>
      <c r="O38" s="194"/>
    </row>
    <row r="40" spans="1:16" ht="31.9" customHeight="1">
      <c r="A40" s="432" t="s">
        <v>483</v>
      </c>
      <c r="B40" s="907" t="s">
        <v>484</v>
      </c>
      <c r="C40" s="907"/>
      <c r="D40" s="907"/>
    </row>
    <row r="41" spans="1:16" ht="88.9" customHeight="1">
      <c r="A41" s="432" t="s">
        <v>485</v>
      </c>
      <c r="B41" s="908" t="s">
        <v>486</v>
      </c>
      <c r="C41" s="909"/>
      <c r="D41" s="909"/>
    </row>
    <row r="42" spans="1:16">
      <c r="A42" s="4" t="s">
        <v>487</v>
      </c>
      <c r="B42" s="1" t="s">
        <v>488</v>
      </c>
      <c r="O42" s="179"/>
    </row>
    <row r="43" spans="1:16">
      <c r="O43" s="179"/>
    </row>
    <row r="44" spans="1:16">
      <c r="O44" s="179"/>
    </row>
    <row r="45" spans="1:16">
      <c r="O45" s="179"/>
    </row>
  </sheetData>
  <customSheetViews>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1"/>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2"/>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3"/>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4"/>
      <headerFooter alignWithMargins="0">
        <oddHeader>&amp;R&amp;12Page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6"/>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7"/>
      <headerFooter alignWithMargins="0">
        <oddHeader>&amp;R&amp;12Page &amp;P of &amp;N</oddHeader>
      </headerFooter>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3" orientation="portrait" r:id="rId9"/>
      <headerFooter alignWithMargins="0"/>
    </customSheetView>
  </customSheetViews>
  <mergeCells count="5">
    <mergeCell ref="B40:D40"/>
    <mergeCell ref="B41:D41"/>
    <mergeCell ref="A4:D4"/>
    <mergeCell ref="A2:D2"/>
    <mergeCell ref="A3:D3"/>
  </mergeCells>
  <phoneticPr fontId="0" type="noConversion"/>
  <printOptions horizontalCentered="1"/>
  <pageMargins left="0.75" right="0.75" top="1" bottom="1" header="0.5" footer="0.5"/>
  <pageSetup scale="51" orientation="landscape" r:id="rId10"/>
  <headerFooter alignWithMargins="0"/>
  <customProperties>
    <customPr name="_pios_id" r:id="rId11"/>
    <customPr name="EpmWorksheetKeyString_GUID" r:id="rId1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44"/>
  <sheetViews>
    <sheetView showGridLines="0" showWhiteSpace="0" topLeftCell="A289" zoomScale="70" zoomScaleNormal="70" zoomScaleSheetLayoutView="40" zoomScalePageLayoutView="50" workbookViewId="0">
      <selection activeCell="A229" sqref="A229"/>
    </sheetView>
  </sheetViews>
  <sheetFormatPr defaultColWidth="9.28515625" defaultRowHeight="15"/>
  <cols>
    <col min="1" max="1" width="6.28515625" style="71" customWidth="1"/>
    <col min="2" max="2" width="6.42578125" style="71" customWidth="1"/>
    <col min="3" max="3" width="63.140625" style="71" customWidth="1"/>
    <col min="4" max="4" width="41.42578125" style="71" customWidth="1"/>
    <col min="5" max="5" width="26.28515625" style="71" customWidth="1"/>
    <col min="6" max="6" width="14.7109375" style="71" customWidth="1"/>
    <col min="7" max="7" width="18.7109375" style="71" customWidth="1"/>
    <col min="8" max="8" width="19.7109375" style="71" customWidth="1"/>
    <col min="9" max="9" width="21.28515625" style="71" customWidth="1"/>
    <col min="10" max="10" width="20.7109375" style="71" customWidth="1"/>
    <col min="11" max="11" width="19" style="71" customWidth="1"/>
    <col min="12" max="12" width="20.42578125" style="71" customWidth="1"/>
    <col min="13" max="13" width="18.28515625" style="71" customWidth="1"/>
    <col min="14" max="14" width="21.7109375" style="71" customWidth="1"/>
    <col min="15" max="15" width="21.42578125" style="71" customWidth="1"/>
    <col min="16" max="16" width="22" style="71" customWidth="1"/>
    <col min="17" max="17" width="20.7109375" style="71" customWidth="1"/>
    <col min="18" max="18" width="21.42578125" style="71" customWidth="1"/>
    <col min="19" max="19" width="21.5703125" style="71" customWidth="1"/>
    <col min="20" max="20" width="20.28515625" style="71" customWidth="1"/>
    <col min="21" max="21" width="18.42578125" style="71" customWidth="1"/>
    <col min="22" max="16384" width="9.28515625" style="71"/>
  </cols>
  <sheetData>
    <row r="1" spans="1:21" ht="21" customHeight="1">
      <c r="A1" s="894" t="s">
        <v>0</v>
      </c>
      <c r="B1" s="894"/>
      <c r="C1" s="894"/>
      <c r="D1" s="894"/>
      <c r="E1" s="894"/>
      <c r="F1" s="894"/>
      <c r="G1" s="894"/>
      <c r="H1" s="894"/>
      <c r="I1" s="894"/>
      <c r="J1" s="894"/>
      <c r="K1" s="894"/>
      <c r="L1" s="894"/>
      <c r="M1" s="894"/>
      <c r="N1" s="894"/>
      <c r="O1" s="894"/>
      <c r="P1" s="894"/>
      <c r="Q1" s="894"/>
      <c r="R1" s="894"/>
      <c r="S1" s="894"/>
      <c r="T1" s="894"/>
      <c r="U1" s="894"/>
    </row>
    <row r="2" spans="1:21" ht="21" customHeight="1">
      <c r="A2" s="894" t="str">
        <f>+'Appendix A'!A4</f>
        <v xml:space="preserve">ATTACHMENT H-15A </v>
      </c>
      <c r="B2" s="894"/>
      <c r="C2" s="894"/>
      <c r="D2" s="894"/>
      <c r="E2" s="894"/>
      <c r="F2" s="894"/>
      <c r="G2" s="894"/>
      <c r="H2" s="894"/>
      <c r="I2" s="894"/>
      <c r="J2" s="894"/>
      <c r="K2" s="894"/>
      <c r="L2" s="894"/>
      <c r="M2" s="894"/>
      <c r="N2" s="894"/>
      <c r="O2" s="894"/>
      <c r="P2" s="894"/>
      <c r="Q2" s="894"/>
      <c r="R2" s="894"/>
      <c r="S2" s="894"/>
      <c r="T2" s="894"/>
      <c r="U2" s="894"/>
    </row>
    <row r="3" spans="1:21" ht="21" customHeight="1">
      <c r="A3" s="894" t="s">
        <v>996</v>
      </c>
      <c r="B3" s="894"/>
      <c r="C3" s="894"/>
      <c r="D3" s="894"/>
      <c r="E3" s="894"/>
      <c r="F3" s="894"/>
      <c r="G3" s="894"/>
      <c r="H3" s="894"/>
      <c r="I3" s="894"/>
      <c r="J3" s="894"/>
      <c r="K3" s="894"/>
      <c r="L3" s="894"/>
      <c r="M3" s="894"/>
      <c r="N3" s="894"/>
      <c r="O3" s="894"/>
      <c r="P3" s="894"/>
      <c r="Q3" s="894"/>
      <c r="R3" s="894"/>
      <c r="S3" s="894"/>
      <c r="T3" s="894"/>
      <c r="U3" s="894"/>
    </row>
    <row r="4" spans="1:21" ht="51.6" customHeight="1">
      <c r="A4" s="71" t="s">
        <v>411</v>
      </c>
      <c r="B4" s="79"/>
      <c r="C4" s="79"/>
      <c r="D4" s="79"/>
      <c r="E4" s="79"/>
      <c r="F4" s="79"/>
      <c r="G4" s="79"/>
      <c r="H4" s="79"/>
      <c r="I4" s="79"/>
      <c r="J4" s="79"/>
      <c r="K4" s="79"/>
      <c r="L4" s="79"/>
      <c r="M4" s="79"/>
      <c r="N4" s="79"/>
      <c r="O4" s="79"/>
      <c r="P4" s="79"/>
      <c r="Q4" s="79"/>
      <c r="U4" s="627"/>
    </row>
    <row r="5" spans="1:21" ht="21" customHeight="1">
      <c r="A5" s="75"/>
      <c r="G5" s="76"/>
      <c r="H5" s="76"/>
      <c r="I5" s="76"/>
      <c r="J5" s="76"/>
      <c r="K5" s="77"/>
      <c r="L5" s="76"/>
      <c r="M5" s="76"/>
      <c r="N5" s="76"/>
      <c r="O5" s="177"/>
      <c r="Q5" s="76"/>
      <c r="U5" s="73"/>
    </row>
    <row r="6" spans="1:21" ht="16.5" thickBot="1">
      <c r="A6" s="78" t="s">
        <v>489</v>
      </c>
      <c r="B6" s="72"/>
      <c r="E6" s="76"/>
      <c r="F6" s="76"/>
      <c r="G6" s="534" t="s">
        <v>490</v>
      </c>
      <c r="H6" s="920" t="s">
        <v>355</v>
      </c>
      <c r="I6" s="920"/>
      <c r="J6" s="920"/>
      <c r="K6" s="920"/>
      <c r="L6" s="920"/>
      <c r="M6" s="920"/>
      <c r="N6" s="920"/>
      <c r="O6" s="920"/>
      <c r="P6" s="920"/>
      <c r="Q6" s="920"/>
      <c r="R6" s="920"/>
      <c r="S6" s="921"/>
    </row>
    <row r="7" spans="1:21" ht="32.1" customHeight="1" thickBot="1">
      <c r="A7" s="118" t="s">
        <v>491</v>
      </c>
      <c r="B7" s="119" t="s">
        <v>492</v>
      </c>
      <c r="C7" s="119"/>
      <c r="D7" s="119"/>
      <c r="E7" s="121" t="s">
        <v>493</v>
      </c>
      <c r="F7" s="767" t="s">
        <v>494</v>
      </c>
      <c r="G7" s="82" t="s">
        <v>495</v>
      </c>
      <c r="H7" s="120" t="s">
        <v>496</v>
      </c>
      <c r="I7" s="120" t="s">
        <v>497</v>
      </c>
      <c r="J7" s="120" t="s">
        <v>498</v>
      </c>
      <c r="K7" s="120" t="s">
        <v>499</v>
      </c>
      <c r="L7" s="120" t="s">
        <v>374</v>
      </c>
      <c r="M7" s="120" t="s">
        <v>500</v>
      </c>
      <c r="N7" s="120" t="s">
        <v>501</v>
      </c>
      <c r="O7" s="120" t="s">
        <v>502</v>
      </c>
      <c r="P7" s="120" t="s">
        <v>503</v>
      </c>
      <c r="Q7" s="120" t="s">
        <v>504</v>
      </c>
      <c r="R7" s="120" t="s">
        <v>505</v>
      </c>
      <c r="S7" s="82" t="s">
        <v>506</v>
      </c>
      <c r="T7" s="767" t="s">
        <v>507</v>
      </c>
      <c r="U7" s="187" t="s">
        <v>508</v>
      </c>
    </row>
    <row r="8" spans="1:21" ht="15.75">
      <c r="A8" s="84"/>
      <c r="B8" s="85" t="s">
        <v>13</v>
      </c>
      <c r="C8" s="86"/>
      <c r="D8" s="86"/>
      <c r="E8" s="86"/>
      <c r="F8" s="86"/>
      <c r="H8" s="336"/>
      <c r="I8" s="336"/>
      <c r="J8" s="336"/>
      <c r="K8" s="336"/>
      <c r="L8" s="336"/>
      <c r="M8" s="336"/>
      <c r="N8" s="336"/>
      <c r="O8" s="336"/>
      <c r="P8" s="336"/>
      <c r="Q8" s="336"/>
      <c r="R8" s="336"/>
      <c r="S8" s="91"/>
      <c r="T8" s="88"/>
      <c r="U8" s="184"/>
    </row>
    <row r="9" spans="1:21" ht="15.75">
      <c r="A9" s="89">
        <v>1</v>
      </c>
      <c r="B9" s="73"/>
      <c r="C9" s="71" t="s">
        <v>509</v>
      </c>
      <c r="E9" s="833" t="s">
        <v>961</v>
      </c>
      <c r="F9" s="90"/>
      <c r="G9" s="182">
        <v>3158333022.9211907</v>
      </c>
      <c r="H9" s="182">
        <v>3177474427.6802478</v>
      </c>
      <c r="I9" s="182">
        <v>3190555723.701643</v>
      </c>
      <c r="J9" s="182">
        <v>3253401178.2295809</v>
      </c>
      <c r="K9" s="182">
        <v>3267868785.0800805</v>
      </c>
      <c r="L9" s="182">
        <v>3281477189.8877301</v>
      </c>
      <c r="M9" s="182">
        <v>3336799840.6353755</v>
      </c>
      <c r="N9" s="182">
        <v>3353522524.1301937</v>
      </c>
      <c r="O9" s="182">
        <v>3455366013.569417</v>
      </c>
      <c r="P9" s="182">
        <v>3480333313.8489251</v>
      </c>
      <c r="Q9" s="182">
        <v>3503491599.6029668</v>
      </c>
      <c r="R9" s="182">
        <v>3527370342.2168097</v>
      </c>
      <c r="S9" s="182">
        <v>3643688570.651382</v>
      </c>
      <c r="T9" s="535">
        <f>AVERAGE(G9:S9)</f>
        <v>3356129425.550427</v>
      </c>
      <c r="U9" s="188">
        <v>0</v>
      </c>
    </row>
    <row r="10" spans="1:21" ht="15.75">
      <c r="A10" s="89">
        <f>+A9+1</f>
        <v>2</v>
      </c>
      <c r="B10" s="73"/>
      <c r="C10" s="71" t="s">
        <v>510</v>
      </c>
      <c r="E10" s="71" t="s">
        <v>511</v>
      </c>
      <c r="G10" s="182">
        <v>0</v>
      </c>
      <c r="H10" s="182">
        <v>0</v>
      </c>
      <c r="I10" s="182">
        <v>0</v>
      </c>
      <c r="J10" s="182">
        <v>0</v>
      </c>
      <c r="K10" s="182">
        <v>0</v>
      </c>
      <c r="L10" s="182">
        <v>0</v>
      </c>
      <c r="M10" s="182">
        <v>0</v>
      </c>
      <c r="N10" s="182">
        <v>0</v>
      </c>
      <c r="O10" s="182">
        <v>0</v>
      </c>
      <c r="P10" s="182">
        <v>0</v>
      </c>
      <c r="Q10" s="182">
        <v>0</v>
      </c>
      <c r="R10" s="182">
        <v>0</v>
      </c>
      <c r="S10" s="182">
        <v>0</v>
      </c>
      <c r="T10" s="535">
        <f t="shared" ref="T10:T14" si="0">AVERAGE(G10:S10)</f>
        <v>0</v>
      </c>
      <c r="U10" s="188">
        <v>0</v>
      </c>
    </row>
    <row r="11" spans="1:21" ht="15.75">
      <c r="A11" s="89">
        <f t="shared" ref="A11:A14" si="1">+A10+1</f>
        <v>3</v>
      </c>
      <c r="B11" s="73"/>
      <c r="C11" s="71" t="s">
        <v>15</v>
      </c>
      <c r="E11" s="833" t="s">
        <v>962</v>
      </c>
      <c r="F11" s="90"/>
      <c r="G11" s="182">
        <v>-1306836576.8354599</v>
      </c>
      <c r="H11" s="182">
        <v>-1314298221.2683799</v>
      </c>
      <c r="I11" s="182">
        <v>-1321813710.43273</v>
      </c>
      <c r="J11" s="182">
        <v>-1329367314.5394299</v>
      </c>
      <c r="K11" s="182">
        <v>-1336259340.76618</v>
      </c>
      <c r="L11" s="182">
        <v>-1343243885.31248</v>
      </c>
      <c r="M11" s="182">
        <v>-1346186439.84726</v>
      </c>
      <c r="N11" s="182">
        <v>-1353116941.23226</v>
      </c>
      <c r="O11" s="182">
        <v>-1351526260.4975801</v>
      </c>
      <c r="P11" s="182">
        <v>-1358039374.2856801</v>
      </c>
      <c r="Q11" s="182">
        <v>-1364832754.1637199</v>
      </c>
      <c r="R11" s="182">
        <v>-1371637559.2169299</v>
      </c>
      <c r="S11" s="182">
        <v>-1369383079.9428899</v>
      </c>
      <c r="T11" s="535">
        <f t="shared" si="0"/>
        <v>-1343580112.1800752</v>
      </c>
      <c r="U11" s="188">
        <v>0</v>
      </c>
    </row>
    <row r="12" spans="1:21" ht="15" customHeight="1">
      <c r="A12" s="89">
        <f t="shared" si="1"/>
        <v>4</v>
      </c>
      <c r="C12" s="90" t="s">
        <v>34</v>
      </c>
      <c r="E12" s="834" t="s">
        <v>963</v>
      </c>
      <c r="G12" s="182">
        <v>-38225994.651720397</v>
      </c>
      <c r="H12" s="182">
        <v>-38706624.516452603</v>
      </c>
      <c r="I12" s="182">
        <v>-39194472.417501599</v>
      </c>
      <c r="J12" s="182">
        <v>-39688719.024062298</v>
      </c>
      <c r="K12" s="182">
        <v>-40295304.305440702</v>
      </c>
      <c r="L12" s="182">
        <v>-40902899.383641198</v>
      </c>
      <c r="M12" s="182">
        <v>-41511504.258663803</v>
      </c>
      <c r="N12" s="182">
        <v>-42121118.930508398</v>
      </c>
      <c r="O12" s="182">
        <v>-42731743.3991751</v>
      </c>
      <c r="P12" s="182">
        <v>-43343377.664663799</v>
      </c>
      <c r="Q12" s="182">
        <v>-43956021.726974599</v>
      </c>
      <c r="R12" s="182">
        <v>-44569702.195175499</v>
      </c>
      <c r="S12" s="182">
        <v>-45184419.069266498</v>
      </c>
      <c r="T12" s="535">
        <f>AVERAGE(G12:S12)</f>
        <v>-41571684.734095886</v>
      </c>
      <c r="U12" s="188">
        <v>0</v>
      </c>
    </row>
    <row r="13" spans="1:21">
      <c r="A13" s="89">
        <f t="shared" si="1"/>
        <v>5</v>
      </c>
      <c r="C13" s="90" t="s">
        <v>512</v>
      </c>
      <c r="E13" s="71" t="s">
        <v>511</v>
      </c>
      <c r="G13" s="182">
        <v>0</v>
      </c>
      <c r="H13" s="182">
        <v>0</v>
      </c>
      <c r="I13" s="182">
        <v>0</v>
      </c>
      <c r="J13" s="182">
        <v>0</v>
      </c>
      <c r="K13" s="182">
        <v>0</v>
      </c>
      <c r="L13" s="182">
        <v>0</v>
      </c>
      <c r="M13" s="182">
        <v>0</v>
      </c>
      <c r="N13" s="182">
        <v>0</v>
      </c>
      <c r="O13" s="182">
        <v>0</v>
      </c>
      <c r="P13" s="182">
        <v>0</v>
      </c>
      <c r="Q13" s="182">
        <v>0</v>
      </c>
      <c r="R13" s="182">
        <v>0</v>
      </c>
      <c r="S13" s="182">
        <v>0</v>
      </c>
      <c r="T13" s="535">
        <f t="shared" si="0"/>
        <v>0</v>
      </c>
      <c r="U13" s="188">
        <v>0</v>
      </c>
    </row>
    <row r="14" spans="1:21">
      <c r="A14" s="89">
        <f t="shared" si="1"/>
        <v>6</v>
      </c>
      <c r="C14" s="90" t="s">
        <v>513</v>
      </c>
      <c r="E14" s="71" t="s">
        <v>511</v>
      </c>
      <c r="G14" s="182">
        <v>0</v>
      </c>
      <c r="H14" s="182">
        <v>0</v>
      </c>
      <c r="I14" s="182">
        <v>0</v>
      </c>
      <c r="J14" s="182">
        <v>0</v>
      </c>
      <c r="K14" s="182">
        <v>0</v>
      </c>
      <c r="L14" s="182">
        <v>0</v>
      </c>
      <c r="M14" s="182">
        <v>0</v>
      </c>
      <c r="N14" s="182">
        <v>0</v>
      </c>
      <c r="O14" s="182">
        <v>0</v>
      </c>
      <c r="P14" s="182">
        <v>0</v>
      </c>
      <c r="Q14" s="182">
        <v>0</v>
      </c>
      <c r="R14" s="182">
        <v>0</v>
      </c>
      <c r="S14" s="182">
        <v>0</v>
      </c>
      <c r="T14" s="535">
        <f t="shared" si="0"/>
        <v>0</v>
      </c>
      <c r="U14" s="188">
        <v>0</v>
      </c>
    </row>
    <row r="15" spans="1:21" ht="15.75">
      <c r="A15" s="89"/>
      <c r="B15" s="73"/>
      <c r="E15" s="183"/>
      <c r="F15" s="183"/>
      <c r="G15" s="348"/>
      <c r="H15" s="348"/>
      <c r="I15" s="348"/>
      <c r="J15" s="348"/>
      <c r="K15" s="348"/>
      <c r="L15" s="348"/>
      <c r="M15" s="348"/>
      <c r="N15" s="348"/>
      <c r="O15" s="348"/>
      <c r="P15" s="348"/>
      <c r="Q15" s="348"/>
      <c r="R15" s="348"/>
      <c r="S15" s="348"/>
      <c r="T15" s="535"/>
      <c r="U15" s="196"/>
    </row>
    <row r="16" spans="1:21" ht="15.75">
      <c r="A16" s="89"/>
      <c r="B16" s="73" t="s">
        <v>22</v>
      </c>
      <c r="E16" s="183"/>
      <c r="F16" s="183"/>
      <c r="G16" s="348"/>
      <c r="H16" s="348"/>
      <c r="I16" s="348"/>
      <c r="J16" s="348"/>
      <c r="K16" s="348"/>
      <c r="L16" s="348"/>
      <c r="M16" s="348"/>
      <c r="N16" s="348"/>
      <c r="O16" s="348"/>
      <c r="P16" s="348"/>
      <c r="Q16" s="348"/>
      <c r="R16" s="348"/>
      <c r="S16" s="348"/>
      <c r="T16" s="535"/>
      <c r="U16" s="196"/>
    </row>
    <row r="17" spans="1:21" ht="15.75">
      <c r="A17" s="89">
        <f>+A14+1</f>
        <v>7</v>
      </c>
      <c r="B17" s="73"/>
      <c r="C17" s="71" t="s">
        <v>514</v>
      </c>
      <c r="E17" s="93" t="s">
        <v>515</v>
      </c>
      <c r="F17" s="490" t="s">
        <v>516</v>
      </c>
      <c r="G17" s="786">
        <v>706701038.12709999</v>
      </c>
      <c r="H17" s="786">
        <v>706701038.12709999</v>
      </c>
      <c r="I17" s="786">
        <v>706701038.12709999</v>
      </c>
      <c r="J17" s="786">
        <v>709595563.65469003</v>
      </c>
      <c r="K17" s="786">
        <v>709595563.65469003</v>
      </c>
      <c r="L17" s="786">
        <v>709595563.65469003</v>
      </c>
      <c r="M17" s="786">
        <v>748480368.38460994</v>
      </c>
      <c r="N17" s="786">
        <v>748285489.42096996</v>
      </c>
      <c r="O17" s="786">
        <v>834411336.49606001</v>
      </c>
      <c r="P17" s="786">
        <v>837305862.06000996</v>
      </c>
      <c r="Q17" s="786">
        <v>837305862.10545993</v>
      </c>
      <c r="R17" s="786">
        <v>837305862.10545993</v>
      </c>
      <c r="S17" s="786">
        <v>925909401.70094001</v>
      </c>
      <c r="T17" s="535">
        <f>AVERAGE(G17:S17)</f>
        <v>770607229.81683683</v>
      </c>
      <c r="U17" s="188">
        <v>0</v>
      </c>
    </row>
    <row r="18" spans="1:21" ht="15.75">
      <c r="A18" s="89">
        <f>+A17+1</f>
        <v>8</v>
      </c>
      <c r="B18" s="73"/>
      <c r="C18" s="71" t="s">
        <v>517</v>
      </c>
      <c r="E18" s="71" t="s">
        <v>518</v>
      </c>
      <c r="F18" s="135" t="s">
        <v>519</v>
      </c>
      <c r="G18" s="182">
        <v>43042480.619564719</v>
      </c>
      <c r="H18" s="182">
        <v>45092674.537810661</v>
      </c>
      <c r="I18" s="182">
        <v>46910147.677119002</v>
      </c>
      <c r="J18" s="182">
        <v>78818558.466995895</v>
      </c>
      <c r="K18" s="182">
        <v>79105378.761652574</v>
      </c>
      <c r="L18" s="182">
        <v>79392199.056309253</v>
      </c>
      <c r="M18" s="182">
        <v>79679019.350965932</v>
      </c>
      <c r="N18" s="182">
        <v>79965839.645622611</v>
      </c>
      <c r="O18" s="182">
        <v>80252659.94027929</v>
      </c>
      <c r="P18" s="182">
        <v>80539480.234935969</v>
      </c>
      <c r="Q18" s="182">
        <v>80833858.506174162</v>
      </c>
      <c r="R18" s="182">
        <v>81128236.777412355</v>
      </c>
      <c r="S18" s="182">
        <v>81422615.048650548</v>
      </c>
      <c r="T18" s="535">
        <f t="shared" ref="T18:T20" si="2">AVERAGE(G18:S18)</f>
        <v>72014088.355653301</v>
      </c>
      <c r="U18" s="188">
        <v>0</v>
      </c>
    </row>
    <row r="19" spans="1:21" ht="15.75">
      <c r="A19" s="89">
        <f t="shared" ref="A19:A20" si="3">+A18+1</f>
        <v>9</v>
      </c>
      <c r="B19" s="73"/>
      <c r="C19" s="71" t="s">
        <v>25</v>
      </c>
      <c r="E19" s="71" t="s">
        <v>520</v>
      </c>
      <c r="F19" s="135" t="s">
        <v>521</v>
      </c>
      <c r="G19" s="182">
        <v>61724746.397381976</v>
      </c>
      <c r="H19" s="182">
        <v>62330879.608036853</v>
      </c>
      <c r="I19" s="182">
        <v>62868209.671990253</v>
      </c>
      <c r="J19" s="182">
        <v>72301828.271107912</v>
      </c>
      <c r="K19" s="182">
        <v>72386625.764912769</v>
      </c>
      <c r="L19" s="182">
        <v>72471423.258717626</v>
      </c>
      <c r="M19" s="182">
        <v>72556220.752522483</v>
      </c>
      <c r="N19" s="182">
        <v>72641018.246327341</v>
      </c>
      <c r="O19" s="182">
        <v>72725815.740132198</v>
      </c>
      <c r="P19" s="182">
        <v>72810613.233937055</v>
      </c>
      <c r="Q19" s="182">
        <v>72897645.219109118</v>
      </c>
      <c r="R19" s="182">
        <v>72984677.204281181</v>
      </c>
      <c r="S19" s="182">
        <v>73071709.189453244</v>
      </c>
      <c r="T19" s="535">
        <f t="shared" si="2"/>
        <v>70290108.658300772</v>
      </c>
      <c r="U19" s="188">
        <v>0</v>
      </c>
    </row>
    <row r="20" spans="1:21" ht="15.75">
      <c r="A20" s="89">
        <f t="shared" si="3"/>
        <v>10</v>
      </c>
      <c r="B20" s="73"/>
      <c r="C20" s="71" t="s">
        <v>510</v>
      </c>
      <c r="E20" s="71" t="s">
        <v>511</v>
      </c>
      <c r="F20" s="135"/>
      <c r="G20" s="182">
        <v>0</v>
      </c>
      <c r="H20" s="182">
        <v>0</v>
      </c>
      <c r="I20" s="182">
        <v>0</v>
      </c>
      <c r="J20" s="182">
        <v>0</v>
      </c>
      <c r="K20" s="182">
        <v>0</v>
      </c>
      <c r="L20" s="182">
        <v>0</v>
      </c>
      <c r="M20" s="182">
        <v>0</v>
      </c>
      <c r="N20" s="182">
        <v>0</v>
      </c>
      <c r="O20" s="182">
        <v>0</v>
      </c>
      <c r="P20" s="182">
        <v>0</v>
      </c>
      <c r="Q20" s="182">
        <v>0</v>
      </c>
      <c r="R20" s="182">
        <v>0</v>
      </c>
      <c r="S20" s="182">
        <v>0</v>
      </c>
      <c r="T20" s="535">
        <f t="shared" si="2"/>
        <v>0</v>
      </c>
      <c r="U20" s="188">
        <v>0</v>
      </c>
    </row>
    <row r="21" spans="1:21">
      <c r="A21" s="89"/>
      <c r="B21" s="72"/>
      <c r="C21" s="90"/>
      <c r="E21" s="91"/>
      <c r="F21" s="490"/>
      <c r="G21" s="348"/>
      <c r="H21" s="348"/>
      <c r="I21" s="348"/>
      <c r="J21" s="348"/>
      <c r="K21" s="348"/>
      <c r="L21" s="348"/>
      <c r="M21" s="348"/>
      <c r="N21" s="348"/>
      <c r="O21" s="348"/>
      <c r="P21" s="348"/>
      <c r="Q21" s="348"/>
      <c r="R21" s="348"/>
      <c r="S21" s="348"/>
      <c r="T21" s="535"/>
      <c r="U21" s="188"/>
    </row>
    <row r="22" spans="1:21" ht="15.75">
      <c r="A22" s="89"/>
      <c r="B22" s="73" t="s">
        <v>31</v>
      </c>
      <c r="E22" s="183"/>
      <c r="F22" s="491"/>
      <c r="G22" s="348"/>
      <c r="H22" s="348"/>
      <c r="I22" s="348"/>
      <c r="J22" s="348"/>
      <c r="K22" s="348"/>
      <c r="L22" s="348"/>
      <c r="M22" s="348"/>
      <c r="N22" s="348"/>
      <c r="O22" s="348"/>
      <c r="P22" s="348"/>
      <c r="Q22" s="348"/>
      <c r="R22" s="348"/>
      <c r="S22" s="348"/>
      <c r="T22" s="535"/>
      <c r="U22" s="196"/>
    </row>
    <row r="23" spans="1:21">
      <c r="A23" s="89">
        <f>+A20+1</f>
        <v>11</v>
      </c>
      <c r="B23" s="72"/>
      <c r="C23" s="71" t="s">
        <v>32</v>
      </c>
      <c r="E23" s="90" t="s">
        <v>522</v>
      </c>
      <c r="F23" s="135">
        <v>108</v>
      </c>
      <c r="G23" s="182">
        <v>-240878448.74652499</v>
      </c>
      <c r="H23" s="182">
        <v>-242021701.05596399</v>
      </c>
      <c r="I23" s="182">
        <v>-243164953.365403</v>
      </c>
      <c r="J23" s="182">
        <v>-244308205.67484099</v>
      </c>
      <c r="K23" s="182">
        <v>-245456316.29528499</v>
      </c>
      <c r="L23" s="182">
        <v>-246604426.91572899</v>
      </c>
      <c r="M23" s="182">
        <v>-243859779.306885</v>
      </c>
      <c r="N23" s="182">
        <v>-245092665.390926</v>
      </c>
      <c r="O23" s="182">
        <v>-237683655.54737201</v>
      </c>
      <c r="P23" s="182">
        <v>-238751491.98427299</v>
      </c>
      <c r="Q23" s="182">
        <v>-240113957.713741</v>
      </c>
      <c r="R23" s="182">
        <v>-241476423.447835</v>
      </c>
      <c r="S23" s="182">
        <v>-233968787.858289</v>
      </c>
      <c r="T23" s="535">
        <f t="shared" ref="T23:T25" si="4">AVERAGE(G23:S23)</f>
        <v>-241798524.10023594</v>
      </c>
      <c r="U23" s="188">
        <v>0</v>
      </c>
    </row>
    <row r="24" spans="1:21">
      <c r="A24" s="89">
        <f>+A23+1</f>
        <v>12</v>
      </c>
      <c r="B24" s="72"/>
      <c r="C24" s="71" t="s">
        <v>33</v>
      </c>
      <c r="D24" s="72"/>
      <c r="E24" s="90" t="s">
        <v>523</v>
      </c>
      <c r="F24" s="135">
        <v>108</v>
      </c>
      <c r="G24" s="182">
        <v>-12365981.9522132</v>
      </c>
      <c r="H24" s="182">
        <v>-12483840.447166201</v>
      </c>
      <c r="I24" s="182">
        <v>-12607539.370672701</v>
      </c>
      <c r="J24" s="182">
        <v>-12736415.7663801</v>
      </c>
      <c r="K24" s="182">
        <v>-12956190.2921704</v>
      </c>
      <c r="L24" s="182">
        <v>-13176781.8886893</v>
      </c>
      <c r="M24" s="182">
        <v>-13398190.555936901</v>
      </c>
      <c r="N24" s="182">
        <v>-13620416.2939131</v>
      </c>
      <c r="O24" s="182">
        <v>-13843459.102618</v>
      </c>
      <c r="P24" s="182">
        <v>-14067318.982051499</v>
      </c>
      <c r="Q24" s="182">
        <v>-14291995.932213699</v>
      </c>
      <c r="R24" s="182">
        <v>-14517511.483664</v>
      </c>
      <c r="S24" s="182">
        <v>-14743865.6364026</v>
      </c>
      <c r="T24" s="535">
        <f t="shared" si="4"/>
        <v>-13446885.208007054</v>
      </c>
      <c r="U24" s="188">
        <v>0</v>
      </c>
    </row>
    <row r="25" spans="1:21" ht="16.5" thickBot="1">
      <c r="A25" s="105">
        <f>+A24+1</f>
        <v>13</v>
      </c>
      <c r="B25" s="95"/>
      <c r="C25" s="97" t="s">
        <v>524</v>
      </c>
      <c r="D25" s="97"/>
      <c r="E25" s="97" t="s">
        <v>511</v>
      </c>
      <c r="F25" s="136">
        <v>111</v>
      </c>
      <c r="G25" s="787">
        <v>0</v>
      </c>
      <c r="H25" s="787">
        <v>0</v>
      </c>
      <c r="I25" s="787">
        <v>0</v>
      </c>
      <c r="J25" s="787">
        <v>0</v>
      </c>
      <c r="K25" s="787">
        <v>0</v>
      </c>
      <c r="L25" s="787">
        <v>0</v>
      </c>
      <c r="M25" s="787">
        <v>0</v>
      </c>
      <c r="N25" s="787">
        <v>0</v>
      </c>
      <c r="O25" s="787">
        <v>0</v>
      </c>
      <c r="P25" s="787">
        <v>0</v>
      </c>
      <c r="Q25" s="787">
        <v>0</v>
      </c>
      <c r="R25" s="787">
        <v>0</v>
      </c>
      <c r="S25" s="787">
        <v>0</v>
      </c>
      <c r="T25" s="542">
        <f t="shared" si="4"/>
        <v>0</v>
      </c>
      <c r="U25" s="347">
        <v>0</v>
      </c>
    </row>
    <row r="26" spans="1:21" ht="15.75">
      <c r="A26" s="90"/>
      <c r="B26" s="78"/>
      <c r="C26" s="90"/>
      <c r="G26" s="12"/>
      <c r="H26" s="12"/>
      <c r="I26" s="12"/>
      <c r="J26" s="12"/>
      <c r="K26" s="12"/>
      <c r="L26" s="12"/>
      <c r="M26" s="12"/>
      <c r="N26" s="12"/>
      <c r="O26" s="12"/>
      <c r="P26" s="12"/>
      <c r="Q26" s="12"/>
      <c r="R26" s="12"/>
      <c r="S26" s="12"/>
      <c r="T26" s="12"/>
      <c r="U26" s="92"/>
    </row>
    <row r="27" spans="1:21" ht="15.75">
      <c r="A27" s="72"/>
      <c r="B27" s="78"/>
      <c r="C27" s="90"/>
      <c r="G27" s="12"/>
      <c r="H27" s="12"/>
      <c r="I27" s="12"/>
      <c r="J27" s="12"/>
      <c r="K27" s="12"/>
      <c r="L27" s="12"/>
      <c r="M27" s="12"/>
      <c r="N27" s="12"/>
      <c r="O27" s="12"/>
      <c r="P27" s="12"/>
      <c r="Q27" s="12"/>
      <c r="R27" s="12"/>
      <c r="S27" s="186"/>
      <c r="U27" s="92"/>
    </row>
    <row r="28" spans="1:21" ht="16.5" thickBot="1">
      <c r="A28" s="78" t="s">
        <v>525</v>
      </c>
      <c r="C28" s="90"/>
      <c r="G28" s="100"/>
      <c r="H28" s="100"/>
      <c r="I28" s="100"/>
      <c r="J28" s="100"/>
      <c r="K28" s="100"/>
      <c r="L28" s="100"/>
      <c r="M28" s="100"/>
      <c r="N28" s="100"/>
      <c r="O28" s="12"/>
      <c r="P28" s="12"/>
      <c r="Q28" s="100"/>
      <c r="R28" s="100"/>
      <c r="S28" s="100"/>
      <c r="T28" s="100"/>
      <c r="U28" s="190"/>
    </row>
    <row r="29" spans="1:21" ht="32.25" thickBot="1">
      <c r="A29" s="80" t="s">
        <v>491</v>
      </c>
      <c r="B29" s="81" t="s">
        <v>492</v>
      </c>
      <c r="C29" s="81"/>
      <c r="D29" s="81"/>
      <c r="E29" s="83" t="s">
        <v>493</v>
      </c>
      <c r="F29" s="765" t="s">
        <v>494</v>
      </c>
      <c r="G29" s="101"/>
      <c r="H29" s="101"/>
      <c r="I29" s="101"/>
      <c r="J29" s="101"/>
      <c r="K29" s="101"/>
      <c r="L29" s="101"/>
      <c r="M29" s="101"/>
      <c r="N29" s="101"/>
      <c r="O29" s="101"/>
      <c r="P29" s="101"/>
      <c r="Q29" s="101"/>
      <c r="R29" s="101"/>
      <c r="S29" s="101"/>
      <c r="T29" s="82" t="s">
        <v>526</v>
      </c>
      <c r="U29" s="102"/>
    </row>
    <row r="30" spans="1:21" ht="15.75">
      <c r="A30" s="103"/>
      <c r="B30" s="73"/>
      <c r="C30" s="73"/>
      <c r="D30" s="73"/>
      <c r="E30" s="104"/>
      <c r="F30" s="104"/>
      <c r="T30" s="79"/>
      <c r="U30" s="94"/>
    </row>
    <row r="31" spans="1:21" ht="15.75">
      <c r="A31" s="89">
        <f>+A25+1</f>
        <v>14</v>
      </c>
      <c r="B31" s="78"/>
      <c r="C31" s="90" t="s">
        <v>527</v>
      </c>
      <c r="D31" s="78"/>
      <c r="E31" s="71" t="s">
        <v>528</v>
      </c>
      <c r="G31" s="72"/>
      <c r="T31" s="182">
        <v>50062304</v>
      </c>
      <c r="U31" s="94"/>
    </row>
    <row r="32" spans="1:21" ht="15.75">
      <c r="A32" s="89">
        <f>+A31+1</f>
        <v>15</v>
      </c>
      <c r="B32" s="78"/>
      <c r="C32" s="90" t="s">
        <v>529</v>
      </c>
      <c r="D32" s="78"/>
      <c r="E32" s="71" t="s">
        <v>530</v>
      </c>
      <c r="T32" s="182">
        <v>14168528</v>
      </c>
      <c r="U32" s="94"/>
    </row>
    <row r="33" spans="1:21">
      <c r="A33" s="89">
        <f>+A32+1</f>
        <v>16</v>
      </c>
      <c r="C33" s="90" t="s">
        <v>531</v>
      </c>
      <c r="E33" s="71" t="s">
        <v>532</v>
      </c>
      <c r="T33" s="182">
        <v>4489848</v>
      </c>
      <c r="U33" s="94"/>
    </row>
    <row r="34" spans="1:21" ht="15.75" thickBot="1">
      <c r="A34" s="105"/>
      <c r="B34" s="97"/>
      <c r="C34" s="96"/>
      <c r="D34" s="97"/>
      <c r="E34" s="97"/>
      <c r="F34" s="97"/>
      <c r="G34" s="21"/>
      <c r="H34" s="97"/>
      <c r="I34" s="97"/>
      <c r="J34" s="97"/>
      <c r="K34" s="97"/>
      <c r="L34" s="97"/>
      <c r="M34" s="97"/>
      <c r="N34" s="97"/>
      <c r="O34" s="97"/>
      <c r="P34" s="97"/>
      <c r="Q34" s="97"/>
      <c r="R34" s="97"/>
      <c r="S34" s="97"/>
      <c r="T34" s="97"/>
      <c r="U34" s="99"/>
    </row>
    <row r="35" spans="1:21">
      <c r="A35" s="72"/>
      <c r="C35" s="90"/>
      <c r="G35" s="17"/>
      <c r="H35" s="17"/>
      <c r="I35" s="17"/>
      <c r="J35" s="17"/>
      <c r="K35" s="17"/>
      <c r="L35" s="17"/>
      <c r="M35" s="17"/>
      <c r="N35" s="17"/>
      <c r="O35" s="17"/>
      <c r="P35" s="17"/>
      <c r="Q35" s="17"/>
      <c r="R35" s="17"/>
      <c r="S35" s="17"/>
      <c r="T35" s="17"/>
    </row>
    <row r="36" spans="1:21">
      <c r="A36" s="72"/>
      <c r="C36" s="90"/>
      <c r="G36" s="17"/>
      <c r="H36" s="17"/>
      <c r="I36" s="17"/>
      <c r="J36" s="17"/>
      <c r="K36" s="17"/>
      <c r="L36" s="17"/>
      <c r="M36" s="17"/>
      <c r="N36" s="17"/>
      <c r="O36" s="17"/>
      <c r="P36" s="17"/>
      <c r="Q36" s="17"/>
      <c r="R36" s="17"/>
      <c r="S36" s="17"/>
      <c r="T36" s="17"/>
    </row>
    <row r="37" spans="1:21" ht="16.5" thickBot="1">
      <c r="A37" s="78" t="s">
        <v>533</v>
      </c>
      <c r="G37" s="100"/>
    </row>
    <row r="38" spans="1:21" ht="32.25" thickBot="1">
      <c r="A38" s="80" t="s">
        <v>491</v>
      </c>
      <c r="B38" s="81" t="s">
        <v>492</v>
      </c>
      <c r="C38" s="81"/>
      <c r="D38" s="81"/>
      <c r="E38" s="83" t="s">
        <v>493</v>
      </c>
      <c r="F38" s="765" t="s">
        <v>494</v>
      </c>
      <c r="G38" s="101"/>
      <c r="H38" s="101"/>
      <c r="I38" s="101"/>
      <c r="J38" s="101"/>
      <c r="K38" s="101"/>
      <c r="L38" s="101"/>
      <c r="M38" s="101"/>
      <c r="N38" s="101"/>
      <c r="O38" s="101"/>
      <c r="P38" s="101"/>
      <c r="Q38" s="101"/>
      <c r="R38" s="765" t="s">
        <v>534</v>
      </c>
      <c r="S38" s="82" t="s">
        <v>526</v>
      </c>
      <c r="T38" s="765" t="s">
        <v>507</v>
      </c>
      <c r="U38" s="102"/>
    </row>
    <row r="39" spans="1:21" ht="15.75">
      <c r="A39" s="103"/>
      <c r="B39" s="73"/>
      <c r="C39" s="73"/>
      <c r="D39" s="73"/>
      <c r="E39" s="104"/>
      <c r="F39" s="104"/>
      <c r="Q39" s="17"/>
      <c r="R39" s="17"/>
      <c r="S39" s="17"/>
      <c r="T39" s="768"/>
      <c r="U39" s="94"/>
    </row>
    <row r="40" spans="1:21" ht="15.75">
      <c r="A40" s="89">
        <f>+A33+1</f>
        <v>17</v>
      </c>
      <c r="B40" s="72"/>
      <c r="C40" s="447" t="s">
        <v>56</v>
      </c>
      <c r="E40" s="833" t="s">
        <v>964</v>
      </c>
      <c r="F40" s="135">
        <v>105</v>
      </c>
      <c r="G40" s="72"/>
      <c r="Q40" s="17"/>
      <c r="R40" s="182">
        <v>42369</v>
      </c>
      <c r="S40" s="182">
        <v>42369</v>
      </c>
      <c r="T40" s="41">
        <f>+SUM(R40:S40)/2</f>
        <v>42369</v>
      </c>
      <c r="U40" s="94"/>
    </row>
    <row r="41" spans="1:21" ht="16.5" thickBot="1">
      <c r="A41" s="105"/>
      <c r="B41" s="98"/>
      <c r="C41" s="95"/>
      <c r="D41" s="97"/>
      <c r="E41" s="96"/>
      <c r="F41" s="96"/>
      <c r="G41" s="21"/>
      <c r="H41" s="21"/>
      <c r="I41" s="21"/>
      <c r="J41" s="97"/>
      <c r="K41" s="97"/>
      <c r="L41" s="97"/>
      <c r="M41" s="97"/>
      <c r="N41" s="97"/>
      <c r="O41" s="97"/>
      <c r="P41" s="97"/>
      <c r="Q41" s="21"/>
      <c r="R41" s="21"/>
      <c r="S41" s="21"/>
      <c r="T41" s="97"/>
      <c r="U41" s="99"/>
    </row>
    <row r="42" spans="1:21" ht="15.75">
      <c r="A42" s="72"/>
      <c r="B42" s="72"/>
      <c r="C42" s="78"/>
      <c r="E42" s="90"/>
      <c r="F42" s="90"/>
      <c r="G42" s="17"/>
      <c r="H42" s="17"/>
      <c r="I42" s="17"/>
    </row>
    <row r="43" spans="1:21" ht="15.75">
      <c r="A43" s="72"/>
      <c r="B43" s="72"/>
      <c r="C43" s="78"/>
      <c r="E43" s="90"/>
      <c r="F43" s="90"/>
      <c r="G43" s="17"/>
      <c r="H43" s="17"/>
      <c r="I43" s="17"/>
    </row>
    <row r="44" spans="1:21" ht="16.5" thickBot="1">
      <c r="A44" s="78" t="s">
        <v>49</v>
      </c>
    </row>
    <row r="45" spans="1:21" ht="32.25" thickBot="1">
      <c r="A45" s="80" t="s">
        <v>491</v>
      </c>
      <c r="B45" s="81" t="s">
        <v>492</v>
      </c>
      <c r="C45" s="81"/>
      <c r="D45" s="81"/>
      <c r="E45" s="121" t="s">
        <v>493</v>
      </c>
      <c r="F45" s="765" t="s">
        <v>494</v>
      </c>
      <c r="G45" s="82" t="s">
        <v>495</v>
      </c>
      <c r="H45" s="120" t="s">
        <v>496</v>
      </c>
      <c r="I45" s="120" t="s">
        <v>497</v>
      </c>
      <c r="J45" s="120" t="s">
        <v>498</v>
      </c>
      <c r="K45" s="120" t="s">
        <v>499</v>
      </c>
      <c r="L45" s="120" t="s">
        <v>374</v>
      </c>
      <c r="M45" s="120" t="s">
        <v>500</v>
      </c>
      <c r="N45" s="120" t="s">
        <v>501</v>
      </c>
      <c r="O45" s="120" t="s">
        <v>502</v>
      </c>
      <c r="P45" s="120" t="s">
        <v>503</v>
      </c>
      <c r="Q45" s="120" t="s">
        <v>504</v>
      </c>
      <c r="R45" s="120" t="s">
        <v>505</v>
      </c>
      <c r="S45" s="82" t="s">
        <v>506</v>
      </c>
      <c r="T45" s="767" t="s">
        <v>507</v>
      </c>
      <c r="U45" s="766"/>
    </row>
    <row r="46" spans="1:21" ht="15.75">
      <c r="A46" s="107"/>
      <c r="B46" s="108"/>
      <c r="C46" s="85"/>
      <c r="D46" s="86"/>
      <c r="E46" s="109"/>
      <c r="F46" s="109"/>
      <c r="G46" s="86"/>
      <c r="H46" s="86"/>
      <c r="I46" s="86"/>
      <c r="J46" s="86"/>
      <c r="K46" s="86"/>
      <c r="L46" s="86"/>
      <c r="M46" s="110"/>
      <c r="N46" s="110"/>
      <c r="O46" s="86"/>
      <c r="P46" s="108"/>
      <c r="Q46" s="111"/>
      <c r="R46" s="108"/>
      <c r="S46" s="111"/>
      <c r="T46" s="86"/>
      <c r="U46" s="88"/>
    </row>
    <row r="47" spans="1:21">
      <c r="A47" s="89">
        <f>+A40+1</f>
        <v>18</v>
      </c>
      <c r="B47" s="72"/>
      <c r="C47" s="71" t="s">
        <v>535</v>
      </c>
      <c r="D47" s="17"/>
      <c r="E47" s="90" t="s">
        <v>536</v>
      </c>
      <c r="F47" s="135">
        <v>165</v>
      </c>
      <c r="G47" s="182">
        <v>9858800</v>
      </c>
      <c r="H47" s="182">
        <v>23819404</v>
      </c>
      <c r="I47" s="182">
        <v>30745678</v>
      </c>
      <c r="J47" s="182">
        <v>11177967</v>
      </c>
      <c r="K47" s="182">
        <v>13273377</v>
      </c>
      <c r="L47" s="182">
        <v>19282663</v>
      </c>
      <c r="M47" s="182">
        <v>12416663</v>
      </c>
      <c r="N47" s="182">
        <v>21746810</v>
      </c>
      <c r="O47" s="182">
        <v>21915227</v>
      </c>
      <c r="P47" s="182">
        <v>14577560</v>
      </c>
      <c r="Q47" s="182">
        <v>19096623</v>
      </c>
      <c r="R47" s="182">
        <v>32741618</v>
      </c>
      <c r="S47" s="182">
        <v>19209765</v>
      </c>
      <c r="T47" s="348">
        <f>+AVERAGE(G47:S47)</f>
        <v>19220165.769230768</v>
      </c>
      <c r="U47" s="112"/>
    </row>
    <row r="48" spans="1:21">
      <c r="A48" s="89">
        <f>+A47+1</f>
        <v>19</v>
      </c>
      <c r="B48" s="72"/>
      <c r="C48" s="71" t="s">
        <v>537</v>
      </c>
      <c r="E48" s="90" t="s">
        <v>536</v>
      </c>
      <c r="F48" s="135">
        <v>165</v>
      </c>
      <c r="G48" s="788">
        <v>426127</v>
      </c>
      <c r="H48" s="789">
        <v>253224</v>
      </c>
      <c r="I48" s="789">
        <v>330320</v>
      </c>
      <c r="J48" s="789">
        <v>157416</v>
      </c>
      <c r="K48" s="789">
        <v>0</v>
      </c>
      <c r="L48" s="789">
        <v>0</v>
      </c>
      <c r="M48" s="790">
        <v>1188706</v>
      </c>
      <c r="N48" s="790">
        <v>1015802</v>
      </c>
      <c r="O48" s="789">
        <v>842899</v>
      </c>
      <c r="P48" s="789">
        <v>669995</v>
      </c>
      <c r="Q48" s="789">
        <v>497092</v>
      </c>
      <c r="R48" s="789">
        <v>324188</v>
      </c>
      <c r="S48" s="789">
        <v>151285</v>
      </c>
      <c r="T48" s="348">
        <f t="shared" ref="T48:T50" si="5">+AVERAGE(G48:S48)</f>
        <v>450542.61538461538</v>
      </c>
      <c r="U48" s="112"/>
    </row>
    <row r="49" spans="1:21">
      <c r="A49" s="89">
        <f>+A48+1</f>
        <v>20</v>
      </c>
      <c r="B49" s="72"/>
      <c r="C49" s="71" t="s">
        <v>538</v>
      </c>
      <c r="E49" s="90" t="s">
        <v>536</v>
      </c>
      <c r="F49" s="135">
        <v>165</v>
      </c>
      <c r="G49" s="788">
        <v>0</v>
      </c>
      <c r="H49" s="789">
        <v>0</v>
      </c>
      <c r="I49" s="789">
        <v>0</v>
      </c>
      <c r="J49" s="789">
        <v>0</v>
      </c>
      <c r="K49" s="789">
        <v>0</v>
      </c>
      <c r="L49" s="789">
        <v>0</v>
      </c>
      <c r="M49" s="789">
        <v>0</v>
      </c>
      <c r="N49" s="789">
        <v>0</v>
      </c>
      <c r="O49" s="789">
        <v>0</v>
      </c>
      <c r="P49" s="789">
        <v>0</v>
      </c>
      <c r="Q49" s="789">
        <v>0</v>
      </c>
      <c r="R49" s="789">
        <v>0</v>
      </c>
      <c r="S49" s="789">
        <v>0</v>
      </c>
      <c r="T49" s="348">
        <f t="shared" si="5"/>
        <v>0</v>
      </c>
      <c r="U49" s="112"/>
    </row>
    <row r="50" spans="1:21">
      <c r="A50" s="89">
        <f>+A49+1</f>
        <v>21</v>
      </c>
      <c r="B50" s="72"/>
      <c r="C50" s="71" t="s">
        <v>539</v>
      </c>
      <c r="E50" s="90" t="s">
        <v>536</v>
      </c>
      <c r="F50" s="135">
        <v>165</v>
      </c>
      <c r="G50" s="788">
        <v>0</v>
      </c>
      <c r="H50" s="789">
        <v>0</v>
      </c>
      <c r="I50" s="789">
        <v>0</v>
      </c>
      <c r="J50" s="789">
        <v>0</v>
      </c>
      <c r="K50" s="789">
        <v>0</v>
      </c>
      <c r="L50" s="789">
        <v>0</v>
      </c>
      <c r="M50" s="789">
        <v>0</v>
      </c>
      <c r="N50" s="789">
        <v>0</v>
      </c>
      <c r="O50" s="789">
        <v>0</v>
      </c>
      <c r="P50" s="789">
        <v>0</v>
      </c>
      <c r="Q50" s="789">
        <v>0</v>
      </c>
      <c r="R50" s="789">
        <v>0</v>
      </c>
      <c r="S50" s="789">
        <v>0</v>
      </c>
      <c r="T50" s="348">
        <f t="shared" si="5"/>
        <v>0</v>
      </c>
      <c r="U50" s="112"/>
    </row>
    <row r="51" spans="1:21">
      <c r="A51" s="89">
        <f>+A50+1</f>
        <v>22</v>
      </c>
      <c r="B51" s="72"/>
      <c r="C51" s="71" t="s">
        <v>540</v>
      </c>
      <c r="E51" s="90"/>
      <c r="F51" s="135"/>
      <c r="G51" s="72"/>
      <c r="M51" s="38"/>
      <c r="N51" s="38"/>
      <c r="O51" s="348"/>
      <c r="P51" s="348"/>
      <c r="Q51" s="348"/>
      <c r="R51" s="348"/>
      <c r="S51" s="348"/>
      <c r="T51" s="837">
        <f>+T47-T48-T49-T50</f>
        <v>18769623.153846152</v>
      </c>
      <c r="U51" s="112"/>
    </row>
    <row r="52" spans="1:21" ht="15.75" thickBot="1">
      <c r="A52" s="105"/>
      <c r="B52" s="98"/>
      <c r="C52" s="98"/>
      <c r="D52" s="98"/>
      <c r="E52" s="98"/>
      <c r="F52" s="98"/>
      <c r="G52" s="98"/>
      <c r="H52" s="98"/>
      <c r="I52" s="98"/>
      <c r="J52" s="98"/>
      <c r="K52" s="98"/>
      <c r="L52" s="98"/>
      <c r="M52" s="98"/>
      <c r="N52" s="98"/>
      <c r="O52" s="98"/>
      <c r="P52" s="98"/>
      <c r="Q52" s="98"/>
      <c r="R52" s="98" t="s">
        <v>143</v>
      </c>
      <c r="S52" s="97"/>
      <c r="T52" s="97"/>
      <c r="U52" s="99"/>
    </row>
    <row r="53" spans="1:21">
      <c r="A53" s="72"/>
      <c r="B53" s="72"/>
      <c r="C53" s="72"/>
      <c r="D53" s="72"/>
      <c r="E53" s="72"/>
      <c r="F53" s="72"/>
      <c r="G53" s="72"/>
      <c r="H53" s="72"/>
      <c r="I53" s="72"/>
      <c r="J53" s="72"/>
      <c r="K53" s="72"/>
      <c r="L53" s="72"/>
      <c r="M53" s="72"/>
      <c r="N53" s="72"/>
      <c r="O53" s="72"/>
      <c r="P53" s="72"/>
      <c r="Q53" s="72"/>
      <c r="R53" s="72"/>
    </row>
    <row r="54" spans="1:21">
      <c r="A54" s="72"/>
      <c r="C54" s="90"/>
      <c r="G54" s="17"/>
      <c r="H54" s="17"/>
      <c r="I54" s="17"/>
      <c r="J54" s="17"/>
      <c r="K54" s="17"/>
      <c r="L54" s="17"/>
      <c r="M54" s="17"/>
      <c r="N54" s="17"/>
      <c r="O54" s="17"/>
      <c r="P54" s="17"/>
      <c r="Q54" s="17"/>
      <c r="R54" s="17"/>
      <c r="S54" s="17"/>
      <c r="T54" s="17"/>
    </row>
    <row r="55" spans="1:21" ht="16.5" thickBot="1">
      <c r="A55" s="78" t="s">
        <v>52</v>
      </c>
      <c r="G55" s="100"/>
      <c r="H55" s="922"/>
      <c r="I55" s="922"/>
      <c r="J55" s="922"/>
      <c r="K55" s="922"/>
      <c r="L55" s="922"/>
      <c r="M55" s="922"/>
      <c r="N55" s="922"/>
      <c r="O55" s="922"/>
      <c r="P55" s="922"/>
      <c r="Q55" s="922"/>
      <c r="R55" s="922"/>
      <c r="S55" s="922"/>
    </row>
    <row r="56" spans="1:21" ht="32.25" thickBot="1">
      <c r="A56" s="80" t="s">
        <v>491</v>
      </c>
      <c r="B56" s="81" t="s">
        <v>492</v>
      </c>
      <c r="C56" s="81"/>
      <c r="D56" s="81"/>
      <c r="E56" s="83" t="s">
        <v>493</v>
      </c>
      <c r="F56" s="765" t="s">
        <v>494</v>
      </c>
      <c r="G56" s="82" t="s">
        <v>495</v>
      </c>
      <c r="H56" s="82" t="s">
        <v>496</v>
      </c>
      <c r="I56" s="82" t="s">
        <v>497</v>
      </c>
      <c r="J56" s="82" t="s">
        <v>498</v>
      </c>
      <c r="K56" s="82" t="s">
        <v>499</v>
      </c>
      <c r="L56" s="82" t="s">
        <v>374</v>
      </c>
      <c r="M56" s="82" t="s">
        <v>500</v>
      </c>
      <c r="N56" s="82" t="s">
        <v>501</v>
      </c>
      <c r="O56" s="82" t="s">
        <v>502</v>
      </c>
      <c r="P56" s="82" t="s">
        <v>503</v>
      </c>
      <c r="Q56" s="82" t="s">
        <v>504</v>
      </c>
      <c r="R56" s="82" t="s">
        <v>505</v>
      </c>
      <c r="S56" s="82" t="s">
        <v>506</v>
      </c>
      <c r="T56" s="765" t="s">
        <v>507</v>
      </c>
      <c r="U56" s="766"/>
    </row>
    <row r="57" spans="1:21">
      <c r="A57" s="89"/>
      <c r="C57" s="90"/>
      <c r="E57" s="91"/>
      <c r="F57" s="91"/>
      <c r="R57" s="17"/>
      <c r="S57" s="12"/>
      <c r="T57" s="12"/>
      <c r="U57" s="94"/>
    </row>
    <row r="58" spans="1:21">
      <c r="A58" s="89"/>
      <c r="C58" s="90"/>
      <c r="E58" s="91"/>
      <c r="F58" s="91"/>
      <c r="R58" s="17"/>
      <c r="S58" s="12"/>
      <c r="T58" s="12"/>
      <c r="U58" s="94"/>
    </row>
    <row r="59" spans="1:21">
      <c r="A59" s="89">
        <f>+A51+1</f>
        <v>23</v>
      </c>
      <c r="C59" s="90" t="s">
        <v>541</v>
      </c>
      <c r="E59" s="71" t="s">
        <v>542</v>
      </c>
      <c r="F59" s="135">
        <v>163</v>
      </c>
      <c r="G59" s="788">
        <v>1093644</v>
      </c>
      <c r="H59" s="788">
        <v>88205</v>
      </c>
      <c r="I59" s="788">
        <v>89600</v>
      </c>
      <c r="J59" s="788">
        <v>79386</v>
      </c>
      <c r="K59" s="788">
        <v>74893</v>
      </c>
      <c r="L59" s="788">
        <v>59573</v>
      </c>
      <c r="M59" s="788">
        <v>38097</v>
      </c>
      <c r="N59" s="788">
        <v>30501</v>
      </c>
      <c r="O59" s="788">
        <v>16764</v>
      </c>
      <c r="P59" s="788">
        <v>8978</v>
      </c>
      <c r="Q59" s="788">
        <v>-16528</v>
      </c>
      <c r="R59" s="788">
        <v>-19132</v>
      </c>
      <c r="S59" s="788">
        <v>3117</v>
      </c>
      <c r="T59" s="348">
        <f>AVERAGE(G59:S59)</f>
        <v>119007.53846153847</v>
      </c>
      <c r="U59" s="94"/>
    </row>
    <row r="60" spans="1:21">
      <c r="A60" s="89">
        <f>+A59+1</f>
        <v>24</v>
      </c>
      <c r="C60" s="90" t="s">
        <v>543</v>
      </c>
      <c r="E60" s="71" t="s">
        <v>544</v>
      </c>
      <c r="F60" s="135">
        <v>154</v>
      </c>
      <c r="G60" s="788">
        <v>110837</v>
      </c>
      <c r="H60" s="788">
        <v>96547</v>
      </c>
      <c r="I60" s="788">
        <v>107595</v>
      </c>
      <c r="J60" s="788">
        <v>113879</v>
      </c>
      <c r="K60" s="788">
        <v>113340</v>
      </c>
      <c r="L60" s="788">
        <v>116633</v>
      </c>
      <c r="M60" s="788">
        <v>117161</v>
      </c>
      <c r="N60" s="788">
        <v>122634</v>
      </c>
      <c r="O60" s="788">
        <v>128620</v>
      </c>
      <c r="P60" s="788">
        <v>136696</v>
      </c>
      <c r="Q60" s="788">
        <v>138161</v>
      </c>
      <c r="R60" s="788">
        <v>144151</v>
      </c>
      <c r="S60" s="788">
        <v>175344</v>
      </c>
      <c r="T60" s="348">
        <f t="shared" ref="T60:T61" si="6">AVERAGE(G60:S60)</f>
        <v>124738.30769230769</v>
      </c>
      <c r="U60" s="94"/>
    </row>
    <row r="61" spans="1:21">
      <c r="A61" s="89">
        <f>+A60+1</f>
        <v>25</v>
      </c>
      <c r="C61" s="90" t="s">
        <v>55</v>
      </c>
      <c r="E61" s="71" t="s">
        <v>545</v>
      </c>
      <c r="F61" s="135">
        <v>154</v>
      </c>
      <c r="G61" s="182">
        <v>985615</v>
      </c>
      <c r="H61" s="816">
        <v>1110293</v>
      </c>
      <c r="I61" s="816">
        <v>1237342</v>
      </c>
      <c r="J61" s="816">
        <v>1309609</v>
      </c>
      <c r="K61" s="816">
        <v>1303411</v>
      </c>
      <c r="L61" s="816">
        <v>1341283</v>
      </c>
      <c r="M61" s="816">
        <v>1347353</v>
      </c>
      <c r="N61" s="816">
        <v>1410297</v>
      </c>
      <c r="O61" s="182">
        <v>1479134</v>
      </c>
      <c r="P61" s="182">
        <v>1572002</v>
      </c>
      <c r="Q61" s="182">
        <v>1588855</v>
      </c>
      <c r="R61" s="182">
        <v>1657736</v>
      </c>
      <c r="S61" s="182">
        <v>2016456</v>
      </c>
      <c r="T61" s="348">
        <f t="shared" si="6"/>
        <v>1412260.4615384615</v>
      </c>
      <c r="U61" s="94"/>
    </row>
    <row r="62" spans="1:21" ht="16.5" thickBot="1">
      <c r="A62" s="105"/>
      <c r="B62" s="98"/>
      <c r="C62" s="95"/>
      <c r="D62" s="98"/>
      <c r="E62" s="96"/>
      <c r="F62" s="96"/>
      <c r="G62" s="97"/>
      <c r="H62" s="97"/>
      <c r="I62" s="117"/>
      <c r="J62" s="96"/>
      <c r="K62" s="96"/>
      <c r="L62" s="96"/>
      <c r="M62" s="96"/>
      <c r="N62" s="96"/>
      <c r="O62" s="96"/>
      <c r="P62" s="96"/>
      <c r="Q62" s="96"/>
      <c r="R62" s="96"/>
      <c r="S62" s="97"/>
      <c r="T62" s="910"/>
      <c r="U62" s="911"/>
    </row>
    <row r="63" spans="1:21" ht="15.75">
      <c r="A63" s="72"/>
      <c r="B63" s="73"/>
      <c r="C63" s="90"/>
      <c r="G63" s="17"/>
      <c r="H63" s="17"/>
      <c r="I63" s="17"/>
      <c r="J63" s="17"/>
      <c r="K63" s="17"/>
      <c r="L63" s="17"/>
      <c r="M63" s="17"/>
      <c r="N63" s="17"/>
      <c r="O63" s="17"/>
      <c r="P63" s="17"/>
      <c r="Q63" s="17"/>
      <c r="R63" s="17"/>
      <c r="S63" s="17"/>
      <c r="T63" s="34"/>
      <c r="U63" s="92"/>
    </row>
    <row r="64" spans="1:21" ht="15.75">
      <c r="A64" s="72"/>
      <c r="B64" s="73"/>
      <c r="C64" s="90"/>
      <c r="G64" s="17"/>
      <c r="H64" s="17"/>
      <c r="I64" s="17"/>
      <c r="J64" s="17"/>
      <c r="K64" s="17"/>
      <c r="L64" s="17"/>
      <c r="M64" s="17"/>
      <c r="N64" s="17"/>
      <c r="O64" s="17"/>
      <c r="P64" s="17"/>
      <c r="Q64" s="17"/>
      <c r="R64" s="17"/>
      <c r="S64" s="17"/>
      <c r="T64" s="34"/>
      <c r="U64" s="92"/>
    </row>
    <row r="65" spans="1:21" ht="16.5" thickBot="1">
      <c r="A65" s="78" t="s">
        <v>546</v>
      </c>
      <c r="G65" s="100"/>
    </row>
    <row r="66" spans="1:21" ht="32.25" thickBot="1">
      <c r="A66" s="80" t="s">
        <v>491</v>
      </c>
      <c r="B66" s="81" t="s">
        <v>492</v>
      </c>
      <c r="C66" s="81"/>
      <c r="D66" s="81"/>
      <c r="E66" s="83" t="s">
        <v>493</v>
      </c>
      <c r="F66" s="765" t="s">
        <v>494</v>
      </c>
      <c r="G66" s="101"/>
      <c r="H66" s="101"/>
      <c r="I66" s="101"/>
      <c r="J66" s="101"/>
      <c r="K66" s="101"/>
      <c r="L66" s="101"/>
      <c r="M66" s="101"/>
      <c r="N66" s="101"/>
      <c r="O66" s="101"/>
      <c r="P66" s="101"/>
      <c r="Q66" s="101"/>
      <c r="R66" s="101"/>
      <c r="S66" s="82" t="s">
        <v>526</v>
      </c>
      <c r="T66" s="661"/>
      <c r="U66" s="102"/>
    </row>
    <row r="67" spans="1:21">
      <c r="A67" s="89">
        <f>+A61+1</f>
        <v>26</v>
      </c>
      <c r="C67" s="90" t="s">
        <v>77</v>
      </c>
      <c r="E67" s="91" t="s">
        <v>547</v>
      </c>
      <c r="F67" s="490" t="s">
        <v>548</v>
      </c>
      <c r="G67" s="72"/>
      <c r="S67" s="182">
        <v>87667023</v>
      </c>
      <c r="U67" s="94"/>
    </row>
    <row r="68" spans="1:21">
      <c r="A68" s="89">
        <f>+A67+1</f>
        <v>27</v>
      </c>
      <c r="C68" s="90" t="s">
        <v>549</v>
      </c>
      <c r="E68" s="71" t="s">
        <v>550</v>
      </c>
      <c r="F68" s="135">
        <v>565</v>
      </c>
      <c r="G68" s="72"/>
      <c r="S68" s="182">
        <v>72301759</v>
      </c>
      <c r="U68" s="94"/>
    </row>
    <row r="69" spans="1:21">
      <c r="A69" s="89">
        <f>+A68+1</f>
        <v>28</v>
      </c>
      <c r="C69" s="90" t="s">
        <v>551</v>
      </c>
      <c r="E69" s="71" t="s">
        <v>552</v>
      </c>
      <c r="F69" s="135">
        <v>561.4</v>
      </c>
      <c r="G69" s="72"/>
      <c r="S69" s="182">
        <v>5813874</v>
      </c>
      <c r="U69" s="94"/>
    </row>
    <row r="70" spans="1:21">
      <c r="A70" s="89">
        <f>+A69+1</f>
        <v>29</v>
      </c>
      <c r="C70" s="90" t="s">
        <v>553</v>
      </c>
      <c r="F70" s="135"/>
      <c r="S70" s="348">
        <f>SUM(S68:S69)</f>
        <v>78115633</v>
      </c>
      <c r="U70" s="94"/>
    </row>
    <row r="71" spans="1:21" ht="15.75" thickBot="1">
      <c r="A71" s="105"/>
      <c r="B71" s="97"/>
      <c r="C71" s="96"/>
      <c r="D71" s="97"/>
      <c r="E71" s="97"/>
      <c r="F71" s="97"/>
      <c r="G71" s="21"/>
      <c r="H71" s="21"/>
      <c r="I71" s="21"/>
      <c r="J71" s="21"/>
      <c r="K71" s="21"/>
      <c r="L71" s="21"/>
      <c r="M71" s="21"/>
      <c r="N71" s="21"/>
      <c r="O71" s="21"/>
      <c r="P71" s="21"/>
      <c r="Q71" s="21"/>
      <c r="R71" s="21"/>
      <c r="S71" s="21"/>
      <c r="T71" s="21"/>
      <c r="U71" s="99"/>
    </row>
    <row r="72" spans="1:21">
      <c r="A72" s="72"/>
      <c r="C72" s="90"/>
      <c r="G72" s="17"/>
      <c r="H72" s="17"/>
      <c r="I72" s="17"/>
      <c r="J72" s="17"/>
      <c r="K72" s="17"/>
      <c r="L72" s="17"/>
      <c r="M72" s="17"/>
      <c r="N72" s="17"/>
      <c r="O72" s="17"/>
      <c r="P72" s="17"/>
      <c r="Q72" s="17"/>
      <c r="R72" s="17"/>
      <c r="S72" s="17"/>
      <c r="T72" s="17"/>
    </row>
    <row r="73" spans="1:21">
      <c r="A73" s="72"/>
      <c r="C73" s="90"/>
      <c r="G73" s="17"/>
      <c r="H73" s="17"/>
      <c r="I73" s="17"/>
      <c r="J73" s="17"/>
      <c r="K73" s="17"/>
      <c r="L73" s="17"/>
      <c r="M73" s="17"/>
      <c r="N73" s="17"/>
      <c r="O73" s="17"/>
      <c r="P73" s="17"/>
      <c r="Q73" s="17"/>
      <c r="R73" s="17"/>
      <c r="S73" s="17"/>
      <c r="T73" s="17"/>
    </row>
    <row r="74" spans="1:21" ht="16.5" thickBot="1">
      <c r="A74" s="78" t="s">
        <v>554</v>
      </c>
      <c r="G74" s="100"/>
      <c r="H74" s="17"/>
      <c r="I74" s="17"/>
      <c r="J74" s="17"/>
      <c r="K74" s="17"/>
      <c r="L74" s="17"/>
      <c r="M74" s="17"/>
      <c r="N74" s="17"/>
      <c r="O74" s="17"/>
      <c r="P74" s="17"/>
      <c r="Q74" s="17"/>
      <c r="R74" s="17"/>
      <c r="S74" s="17"/>
      <c r="T74" s="34"/>
      <c r="U74" s="92"/>
    </row>
    <row r="75" spans="1:21" ht="32.25" thickBot="1">
      <c r="A75" s="80" t="s">
        <v>491</v>
      </c>
      <c r="B75" s="81" t="s">
        <v>492</v>
      </c>
      <c r="C75" s="81"/>
      <c r="D75" s="81"/>
      <c r="E75" s="83" t="s">
        <v>493</v>
      </c>
      <c r="F75" s="765" t="s">
        <v>494</v>
      </c>
      <c r="G75" s="101"/>
      <c r="H75" s="39"/>
      <c r="I75" s="39"/>
      <c r="J75" s="39"/>
      <c r="K75" s="39"/>
      <c r="L75" s="39"/>
      <c r="M75" s="39"/>
      <c r="N75" s="39"/>
      <c r="O75" s="39"/>
      <c r="P75" s="39"/>
      <c r="Q75" s="39"/>
      <c r="R75" s="39"/>
      <c r="S75" s="82" t="s">
        <v>526</v>
      </c>
      <c r="T75" s="661"/>
      <c r="U75" s="766"/>
    </row>
    <row r="76" spans="1:21">
      <c r="A76" s="89"/>
      <c r="C76" s="90"/>
      <c r="H76" s="17"/>
      <c r="I76" s="17"/>
      <c r="J76" s="17"/>
      <c r="K76" s="17"/>
      <c r="L76" s="17"/>
      <c r="M76" s="17"/>
      <c r="N76" s="17"/>
      <c r="O76" s="17"/>
      <c r="P76" s="17"/>
      <c r="Q76" s="17"/>
      <c r="R76" s="17"/>
      <c r="U76" s="122"/>
    </row>
    <row r="77" spans="1:21" ht="15.75">
      <c r="A77" s="89">
        <f>+A70+1</f>
        <v>30</v>
      </c>
      <c r="B77" s="78"/>
      <c r="C77" s="90" t="s">
        <v>555</v>
      </c>
      <c r="E77" s="71" t="s">
        <v>556</v>
      </c>
      <c r="F77" s="135">
        <v>924</v>
      </c>
      <c r="G77" s="72"/>
      <c r="H77" s="17"/>
      <c r="I77" s="17"/>
      <c r="J77" s="17"/>
      <c r="K77" s="17"/>
      <c r="L77" s="17"/>
      <c r="M77" s="17"/>
      <c r="N77" s="17"/>
      <c r="O77" s="17"/>
      <c r="P77" s="17"/>
      <c r="Q77" s="17"/>
      <c r="R77" s="17"/>
      <c r="S77" s="182">
        <v>4435296</v>
      </c>
      <c r="U77" s="122"/>
    </row>
    <row r="78" spans="1:21" ht="16.5" thickBot="1">
      <c r="A78" s="105"/>
      <c r="B78" s="114"/>
      <c r="C78" s="96"/>
      <c r="D78" s="97"/>
      <c r="E78" s="97"/>
      <c r="F78" s="97"/>
      <c r="G78" s="21"/>
      <c r="H78" s="21"/>
      <c r="I78" s="21"/>
      <c r="J78" s="21"/>
      <c r="K78" s="21"/>
      <c r="L78" s="21"/>
      <c r="M78" s="21"/>
      <c r="N78" s="21"/>
      <c r="O78" s="21"/>
      <c r="P78" s="21"/>
      <c r="Q78" s="21"/>
      <c r="R78" s="21"/>
      <c r="S78" s="21"/>
      <c r="T78" s="40"/>
      <c r="U78" s="123"/>
    </row>
    <row r="79" spans="1:21" ht="15.75">
      <c r="A79" s="72"/>
      <c r="B79" s="72"/>
      <c r="C79" s="78"/>
      <c r="D79" s="72"/>
      <c r="E79" s="90"/>
      <c r="F79" s="90"/>
      <c r="I79" s="37"/>
      <c r="J79" s="90"/>
      <c r="K79" s="90"/>
      <c r="L79" s="90"/>
      <c r="M79" s="90"/>
      <c r="N79" s="90"/>
      <c r="O79" s="90"/>
      <c r="P79" s="90"/>
      <c r="Q79" s="90"/>
      <c r="R79" s="90"/>
      <c r="T79" s="135"/>
    </row>
    <row r="80" spans="1:21" ht="16.5" thickBot="1">
      <c r="A80" s="78" t="s">
        <v>557</v>
      </c>
    </row>
    <row r="81" spans="1:21" ht="32.25" thickBot="1">
      <c r="A81" s="80" t="s">
        <v>491</v>
      </c>
      <c r="B81" s="81" t="s">
        <v>492</v>
      </c>
      <c r="C81" s="81"/>
      <c r="D81" s="81"/>
      <c r="E81" s="83" t="s">
        <v>493</v>
      </c>
      <c r="F81" s="765" t="s">
        <v>494</v>
      </c>
      <c r="G81" s="82"/>
      <c r="H81" s="82"/>
      <c r="I81" s="82"/>
      <c r="J81" s="82"/>
      <c r="K81" s="82"/>
      <c r="L81" s="82"/>
      <c r="M81" s="82"/>
      <c r="N81" s="82"/>
      <c r="O81" s="82"/>
      <c r="P81" s="82"/>
      <c r="Q81" s="82"/>
      <c r="R81" s="82"/>
      <c r="S81" s="765" t="s">
        <v>526</v>
      </c>
      <c r="T81" s="914"/>
      <c r="U81" s="915"/>
    </row>
    <row r="82" spans="1:21" ht="15.75">
      <c r="A82" s="89"/>
      <c r="B82" s="78"/>
      <c r="C82" s="72"/>
      <c r="D82" s="72"/>
      <c r="E82" s="72"/>
      <c r="F82" s="72"/>
      <c r="G82" s="72"/>
      <c r="H82" s="72"/>
      <c r="I82" s="72"/>
      <c r="J82" s="72"/>
      <c r="K82" s="72"/>
      <c r="L82" s="72"/>
      <c r="M82" s="72"/>
      <c r="N82" s="72"/>
      <c r="O82" s="72"/>
      <c r="P82" s="72"/>
      <c r="Q82" s="72"/>
      <c r="R82" s="72"/>
      <c r="U82" s="94"/>
    </row>
    <row r="83" spans="1:21" s="338" customFormat="1" ht="15.75">
      <c r="A83" s="89">
        <f>+A77+1</f>
        <v>31</v>
      </c>
      <c r="B83" s="72"/>
      <c r="C83" s="90" t="s">
        <v>558</v>
      </c>
      <c r="D83" s="72"/>
      <c r="E83" s="90" t="s">
        <v>559</v>
      </c>
      <c r="F83" s="135" t="s">
        <v>560</v>
      </c>
      <c r="G83" s="72"/>
      <c r="H83" s="337"/>
      <c r="I83" s="337"/>
      <c r="J83" s="337"/>
      <c r="K83" s="337"/>
      <c r="L83" s="337"/>
      <c r="M83" s="337"/>
      <c r="N83" s="337"/>
      <c r="O83" s="337"/>
      <c r="P83" s="337"/>
      <c r="Q83" s="337" t="s">
        <v>561</v>
      </c>
      <c r="R83" s="337"/>
      <c r="S83" s="182">
        <f>+'13 - A&amp;G Detail'!F37+5000000</f>
        <v>79962621</v>
      </c>
      <c r="T83" s="768"/>
      <c r="U83" s="122"/>
    </row>
    <row r="84" spans="1:21">
      <c r="A84" s="89">
        <f>+A83+1</f>
        <v>32</v>
      </c>
      <c r="B84" s="72"/>
      <c r="C84" s="71" t="s">
        <v>562</v>
      </c>
      <c r="D84" s="17"/>
      <c r="E84" s="90" t="s">
        <v>563</v>
      </c>
      <c r="F84" s="135" t="s">
        <v>560</v>
      </c>
      <c r="G84" s="90"/>
      <c r="H84" s="90"/>
      <c r="I84" s="90"/>
      <c r="J84" s="90"/>
      <c r="K84" s="90"/>
      <c r="L84" s="90"/>
      <c r="M84" s="90"/>
      <c r="N84" s="90"/>
      <c r="O84" s="90"/>
      <c r="P84" s="90"/>
      <c r="Q84" s="90"/>
      <c r="R84" s="90"/>
      <c r="S84" s="607">
        <f>+'13 - A&amp;G Detail'!H37+5000000</f>
        <v>12103207</v>
      </c>
      <c r="T84" s="912"/>
      <c r="U84" s="913"/>
    </row>
    <row r="85" spans="1:21" ht="15.75">
      <c r="A85" s="89">
        <f>+A84+1</f>
        <v>33</v>
      </c>
      <c r="B85" s="72"/>
      <c r="C85" s="71" t="s">
        <v>564</v>
      </c>
      <c r="D85" s="17"/>
      <c r="E85" s="90" t="s">
        <v>563</v>
      </c>
      <c r="F85" s="135" t="s">
        <v>560</v>
      </c>
      <c r="G85" s="90"/>
      <c r="H85" s="90"/>
      <c r="I85" s="90"/>
      <c r="J85" s="90"/>
      <c r="K85" s="90"/>
      <c r="L85" s="90"/>
      <c r="M85" s="90"/>
      <c r="N85" s="90"/>
      <c r="O85" s="90"/>
      <c r="P85" s="90"/>
      <c r="Q85" s="90"/>
      <c r="R85" s="90"/>
      <c r="S85" s="607">
        <f>+'13 - A&amp;G Detail'!H37+'13 - A&amp;G Detail'!J37+5000000</f>
        <v>79893540</v>
      </c>
      <c r="T85" s="90"/>
      <c r="U85" s="736"/>
    </row>
    <row r="86" spans="1:21" ht="15.75" thickBot="1">
      <c r="A86" s="105"/>
      <c r="B86" s="98"/>
      <c r="C86" s="98"/>
      <c r="D86" s="98"/>
      <c r="E86" s="98"/>
      <c r="F86" s="98"/>
      <c r="G86" s="98"/>
      <c r="H86" s="98"/>
      <c r="I86" s="98"/>
      <c r="J86" s="98"/>
      <c r="K86" s="98"/>
      <c r="L86" s="98"/>
      <c r="M86" s="98"/>
      <c r="N86" s="98"/>
      <c r="O86" s="98"/>
      <c r="P86" s="98"/>
      <c r="Q86" s="98"/>
      <c r="R86" s="98"/>
      <c r="S86" s="97"/>
      <c r="T86" s="97"/>
      <c r="U86" s="99"/>
    </row>
    <row r="88" spans="1:21">
      <c r="T88" s="71" t="s">
        <v>143</v>
      </c>
    </row>
    <row r="89" spans="1:21" ht="16.5" thickBot="1">
      <c r="A89" s="78" t="s">
        <v>565</v>
      </c>
    </row>
    <row r="90" spans="1:21" ht="32.25" thickBot="1">
      <c r="A90" s="80" t="s">
        <v>491</v>
      </c>
      <c r="B90" s="81" t="s">
        <v>492</v>
      </c>
      <c r="C90" s="81"/>
      <c r="D90" s="81"/>
      <c r="E90" s="83" t="s">
        <v>493</v>
      </c>
      <c r="F90" s="765" t="s">
        <v>494</v>
      </c>
      <c r="G90" s="82"/>
      <c r="H90" s="82"/>
      <c r="I90" s="82"/>
      <c r="J90" s="82"/>
      <c r="K90" s="82"/>
      <c r="L90" s="82"/>
      <c r="M90" s="82"/>
      <c r="N90" s="82"/>
      <c r="O90" s="82"/>
      <c r="P90" s="82"/>
      <c r="Q90" s="82"/>
      <c r="R90" s="82"/>
      <c r="S90" s="765" t="s">
        <v>526</v>
      </c>
      <c r="T90" s="765"/>
      <c r="U90" s="766"/>
    </row>
    <row r="91" spans="1:21" ht="15.75">
      <c r="A91" s="124"/>
      <c r="B91" s="85"/>
      <c r="C91" s="85"/>
      <c r="D91" s="85"/>
      <c r="E91" s="126"/>
      <c r="F91" s="126"/>
      <c r="G91" s="125"/>
      <c r="H91" s="125"/>
      <c r="I91" s="125"/>
      <c r="J91" s="125"/>
      <c r="K91" s="125"/>
      <c r="L91" s="125"/>
      <c r="M91" s="125"/>
      <c r="N91" s="125"/>
      <c r="O91" s="125"/>
      <c r="P91" s="125"/>
      <c r="Q91" s="125"/>
      <c r="R91" s="125"/>
      <c r="S91" s="127"/>
      <c r="T91" s="127"/>
      <c r="U91" s="128"/>
    </row>
    <row r="92" spans="1:21">
      <c r="A92" s="89">
        <f>+A85+1</f>
        <v>34</v>
      </c>
      <c r="B92" s="72"/>
      <c r="C92" s="90" t="s">
        <v>566</v>
      </c>
      <c r="D92" s="91"/>
      <c r="E92" s="90" t="s">
        <v>567</v>
      </c>
      <c r="F92" s="135">
        <v>928</v>
      </c>
      <c r="G92" s="72"/>
      <c r="H92" s="90"/>
      <c r="I92" s="90"/>
      <c r="J92" s="90"/>
      <c r="K92" s="90"/>
      <c r="L92" s="90"/>
      <c r="M92" s="90"/>
      <c r="N92" s="90"/>
      <c r="O92" s="90"/>
      <c r="P92" s="90"/>
      <c r="Q92" s="90"/>
      <c r="R92" s="90"/>
      <c r="S92" s="182">
        <v>4461687</v>
      </c>
      <c r="T92" s="352"/>
      <c r="U92" s="129"/>
    </row>
    <row r="93" spans="1:21">
      <c r="A93" s="89">
        <f>+A92+1</f>
        <v>35</v>
      </c>
      <c r="B93" s="72"/>
      <c r="C93" s="90" t="s">
        <v>568</v>
      </c>
      <c r="D93" s="72"/>
      <c r="E93" s="90" t="s">
        <v>968</v>
      </c>
      <c r="F93" s="135">
        <v>928</v>
      </c>
      <c r="G93" s="72"/>
      <c r="H93" s="90"/>
      <c r="I93" s="90"/>
      <c r="J93" s="90"/>
      <c r="K93" s="90"/>
      <c r="L93" s="90"/>
      <c r="M93" s="90"/>
      <c r="N93" s="90"/>
      <c r="O93" s="90"/>
      <c r="P93" s="90"/>
      <c r="Q93" s="90"/>
      <c r="R93" s="90"/>
      <c r="S93" s="182">
        <v>137204</v>
      </c>
      <c r="T93" s="17"/>
      <c r="U93" s="129"/>
    </row>
    <row r="94" spans="1:21" ht="15.75" thickBot="1">
      <c r="A94" s="131"/>
      <c r="B94" s="97"/>
      <c r="C94" s="97"/>
      <c r="D94" s="97"/>
      <c r="E94" s="97"/>
      <c r="F94" s="97"/>
      <c r="G94" s="97"/>
      <c r="H94" s="97"/>
      <c r="I94" s="97"/>
      <c r="J94" s="97"/>
      <c r="K94" s="97"/>
      <c r="L94" s="97"/>
      <c r="M94" s="97"/>
      <c r="N94" s="97"/>
      <c r="O94" s="97"/>
      <c r="P94" s="97"/>
      <c r="Q94" s="97"/>
      <c r="R94" s="97"/>
      <c r="S94" s="97"/>
      <c r="T94" s="97"/>
      <c r="U94" s="99"/>
    </row>
    <row r="97" spans="1:21" ht="16.5" thickBot="1">
      <c r="A97" s="73" t="s">
        <v>569</v>
      </c>
      <c r="E97" s="90"/>
      <c r="F97" s="90"/>
    </row>
    <row r="98" spans="1:21" ht="32.25" thickBot="1">
      <c r="A98" s="80" t="s">
        <v>491</v>
      </c>
      <c r="B98" s="81" t="s">
        <v>492</v>
      </c>
      <c r="C98" s="81"/>
      <c r="D98" s="81"/>
      <c r="E98" s="83" t="s">
        <v>493</v>
      </c>
      <c r="F98" s="765" t="s">
        <v>494</v>
      </c>
      <c r="G98" s="82"/>
      <c r="H98" s="82"/>
      <c r="I98" s="82"/>
      <c r="J98" s="82"/>
      <c r="K98" s="82"/>
      <c r="L98" s="82"/>
      <c r="M98" s="82"/>
      <c r="N98" s="82"/>
      <c r="O98" s="82"/>
      <c r="P98" s="82"/>
      <c r="Q98" s="82"/>
      <c r="R98" s="82"/>
      <c r="S98" s="765" t="s">
        <v>526</v>
      </c>
      <c r="T98" s="765"/>
      <c r="U98" s="766"/>
    </row>
    <row r="99" spans="1:21" ht="15.75">
      <c r="A99" s="103"/>
      <c r="B99" s="73"/>
      <c r="C99" s="73"/>
      <c r="D99" s="73"/>
      <c r="E99" s="104"/>
      <c r="F99" s="104"/>
      <c r="G99" s="79"/>
      <c r="H99" s="79"/>
      <c r="I99" s="79"/>
      <c r="J99" s="79"/>
      <c r="K99" s="79"/>
      <c r="L99" s="79"/>
      <c r="M99" s="79"/>
      <c r="N99" s="79"/>
      <c r="O99" s="79"/>
      <c r="P99" s="79"/>
      <c r="Q99" s="79"/>
      <c r="R99" s="79"/>
      <c r="S99" s="768"/>
      <c r="T99" s="768"/>
      <c r="U99" s="736"/>
    </row>
    <row r="100" spans="1:21">
      <c r="A100" s="89">
        <f>+A93+1</f>
        <v>36</v>
      </c>
      <c r="B100" s="72"/>
      <c r="C100" s="90" t="s">
        <v>570</v>
      </c>
      <c r="E100" s="71" t="s">
        <v>571</v>
      </c>
      <c r="F100" s="71" t="s">
        <v>572</v>
      </c>
      <c r="G100" s="72"/>
      <c r="H100" s="90"/>
      <c r="I100" s="90"/>
      <c r="J100" s="90"/>
      <c r="K100" s="90"/>
      <c r="L100" s="90"/>
      <c r="M100" s="90"/>
      <c r="N100" s="90"/>
      <c r="O100" s="90"/>
      <c r="P100" s="90"/>
      <c r="Q100" s="90"/>
      <c r="R100" s="90"/>
      <c r="S100" s="791">
        <v>0</v>
      </c>
      <c r="T100" s="352"/>
      <c r="U100" s="132"/>
    </row>
    <row r="101" spans="1:21">
      <c r="A101" s="89">
        <f>+A100+1</f>
        <v>37</v>
      </c>
      <c r="B101" s="72"/>
      <c r="C101" s="90" t="s">
        <v>573</v>
      </c>
      <c r="E101" s="71" t="s">
        <v>574</v>
      </c>
      <c r="F101" s="71" t="s">
        <v>572</v>
      </c>
      <c r="G101" s="72"/>
      <c r="H101" s="90"/>
      <c r="I101" s="90"/>
      <c r="J101" s="90"/>
      <c r="K101" s="90"/>
      <c r="L101" s="90"/>
      <c r="M101" s="90"/>
      <c r="N101" s="90"/>
      <c r="O101" s="90"/>
      <c r="P101" s="90"/>
      <c r="Q101" s="90"/>
      <c r="R101" s="90"/>
      <c r="S101" s="791">
        <v>0</v>
      </c>
      <c r="T101" s="352"/>
      <c r="U101" s="132"/>
    </row>
    <row r="102" spans="1:21" ht="15.75" thickBot="1">
      <c r="A102" s="105"/>
      <c r="B102" s="98"/>
      <c r="C102" s="96"/>
      <c r="D102" s="97"/>
      <c r="E102" s="97"/>
      <c r="F102" s="97"/>
      <c r="G102" s="96"/>
      <c r="H102" s="96"/>
      <c r="I102" s="96"/>
      <c r="J102" s="96"/>
      <c r="K102" s="96"/>
      <c r="L102" s="96"/>
      <c r="M102" s="96"/>
      <c r="N102" s="96"/>
      <c r="O102" s="96"/>
      <c r="P102" s="96"/>
      <c r="Q102" s="96"/>
      <c r="R102" s="96"/>
      <c r="S102" s="21"/>
      <c r="T102" s="133"/>
      <c r="U102" s="134"/>
    </row>
    <row r="103" spans="1:21">
      <c r="U103" s="94"/>
    </row>
    <row r="104" spans="1:21" ht="18">
      <c r="U104" s="627"/>
    </row>
    <row r="105" spans="1:21" ht="16.5" thickBot="1">
      <c r="A105" s="78" t="s">
        <v>575</v>
      </c>
      <c r="G105" s="100"/>
    </row>
    <row r="106" spans="1:21" ht="32.25" thickBot="1">
      <c r="A106" s="80" t="s">
        <v>491</v>
      </c>
      <c r="B106" s="81" t="s">
        <v>492</v>
      </c>
      <c r="C106" s="81"/>
      <c r="D106" s="81"/>
      <c r="E106" s="83" t="s">
        <v>493</v>
      </c>
      <c r="F106" s="765" t="s">
        <v>494</v>
      </c>
      <c r="G106" s="101"/>
      <c r="H106" s="101"/>
      <c r="I106" s="101"/>
      <c r="J106" s="101"/>
      <c r="K106" s="101"/>
      <c r="L106" s="101"/>
      <c r="M106" s="101"/>
      <c r="N106" s="101"/>
      <c r="O106" s="101"/>
      <c r="P106" s="101"/>
      <c r="Q106" s="101"/>
      <c r="R106" s="101"/>
      <c r="S106" s="82" t="s">
        <v>526</v>
      </c>
      <c r="T106" s="82"/>
      <c r="U106" s="102"/>
    </row>
    <row r="107" spans="1:21">
      <c r="A107" s="84"/>
      <c r="B107" s="86"/>
      <c r="C107" s="109"/>
      <c r="D107" s="86"/>
      <c r="E107" s="86"/>
      <c r="F107" s="86"/>
      <c r="G107" s="86"/>
      <c r="H107" s="86"/>
      <c r="I107" s="86"/>
      <c r="J107" s="86"/>
      <c r="K107" s="86"/>
      <c r="L107" s="86"/>
      <c r="M107" s="86"/>
      <c r="N107" s="86"/>
      <c r="O107" s="86"/>
      <c r="P107" s="86"/>
      <c r="Q107" s="86"/>
      <c r="R107" s="86"/>
      <c r="S107" s="86"/>
      <c r="T107" s="86"/>
      <c r="U107" s="88"/>
    </row>
    <row r="108" spans="1:21" ht="15.75">
      <c r="A108" s="89">
        <f>+A101+1</f>
        <v>38</v>
      </c>
      <c r="B108" s="78"/>
      <c r="C108" s="90" t="s">
        <v>576</v>
      </c>
      <c r="E108" s="71" t="s">
        <v>577</v>
      </c>
      <c r="F108" s="135">
        <v>403</v>
      </c>
      <c r="G108" s="72"/>
      <c r="S108" s="857">
        <v>14745519.818264062</v>
      </c>
      <c r="U108" s="94"/>
    </row>
    <row r="109" spans="1:21" ht="15.75">
      <c r="A109" s="89">
        <f>+A108+1</f>
        <v>39</v>
      </c>
      <c r="B109" s="78"/>
      <c r="C109" s="90" t="s">
        <v>578</v>
      </c>
      <c r="E109" s="71" t="s">
        <v>579</v>
      </c>
      <c r="F109" s="135">
        <v>403</v>
      </c>
      <c r="S109" s="857">
        <v>2377883.6841893797</v>
      </c>
      <c r="U109" s="314"/>
    </row>
    <row r="110" spans="1:21">
      <c r="A110" s="89">
        <f>+A109+1</f>
        <v>40</v>
      </c>
      <c r="B110" s="135"/>
      <c r="C110" s="90" t="s">
        <v>580</v>
      </c>
      <c r="E110" s="71" t="s">
        <v>581</v>
      </c>
      <c r="F110" s="135">
        <v>404</v>
      </c>
      <c r="S110" s="607">
        <v>6958424.4175460394</v>
      </c>
      <c r="U110" s="94"/>
    </row>
    <row r="111" spans="1:21" ht="15.75" thickBot="1">
      <c r="A111" s="105"/>
      <c r="B111" s="136"/>
      <c r="C111" s="96"/>
      <c r="D111" s="97"/>
      <c r="E111" s="97"/>
      <c r="F111" s="97"/>
      <c r="G111" s="97"/>
      <c r="H111" s="97"/>
      <c r="I111" s="97"/>
      <c r="J111" s="97"/>
      <c r="K111" s="97"/>
      <c r="L111" s="97"/>
      <c r="M111" s="97"/>
      <c r="N111" s="97"/>
      <c r="O111" s="97"/>
      <c r="P111" s="97"/>
      <c r="Q111" s="97"/>
      <c r="R111" s="97"/>
      <c r="S111" s="97"/>
      <c r="T111" s="97"/>
      <c r="U111" s="99"/>
    </row>
    <row r="112" spans="1:21">
      <c r="A112" s="72"/>
      <c r="B112" s="135"/>
      <c r="C112" s="90"/>
      <c r="S112" s="92"/>
      <c r="T112" s="92"/>
      <c r="U112" s="92"/>
    </row>
    <row r="113" spans="1:21">
      <c r="A113" s="72"/>
      <c r="B113" s="135"/>
      <c r="C113" s="90"/>
      <c r="S113" s="92"/>
      <c r="T113" s="92"/>
      <c r="U113" s="92"/>
    </row>
    <row r="114" spans="1:21" ht="16.5" thickBot="1">
      <c r="A114" s="78" t="s">
        <v>582</v>
      </c>
    </row>
    <row r="115" spans="1:21" ht="32.25" thickBot="1">
      <c r="A115" s="80" t="s">
        <v>491</v>
      </c>
      <c r="B115" s="81" t="s">
        <v>492</v>
      </c>
      <c r="C115" s="81"/>
      <c r="D115" s="81"/>
      <c r="E115" s="83" t="s">
        <v>493</v>
      </c>
      <c r="F115" s="765" t="s">
        <v>494</v>
      </c>
      <c r="G115" s="82"/>
      <c r="H115" s="82"/>
      <c r="I115" s="82"/>
      <c r="J115" s="82"/>
      <c r="K115" s="82"/>
      <c r="L115" s="82"/>
      <c r="M115" s="82"/>
      <c r="N115" s="82"/>
      <c r="O115" s="82"/>
      <c r="P115" s="82"/>
      <c r="Q115" s="82"/>
      <c r="R115" s="82"/>
      <c r="S115" s="765" t="s">
        <v>526</v>
      </c>
      <c r="T115" s="765" t="s">
        <v>583</v>
      </c>
      <c r="U115" s="766" t="s">
        <v>584</v>
      </c>
    </row>
    <row r="116" spans="1:21" ht="15.75">
      <c r="A116" s="103"/>
      <c r="B116" s="73"/>
      <c r="C116" s="73"/>
      <c r="D116" s="73"/>
      <c r="E116" s="104"/>
      <c r="F116" s="104"/>
      <c r="G116" s="79"/>
      <c r="H116" s="79"/>
      <c r="I116" s="79"/>
      <c r="J116" s="79"/>
      <c r="K116" s="79"/>
      <c r="L116" s="79"/>
      <c r="M116" s="79"/>
      <c r="N116" s="79"/>
      <c r="O116" s="79"/>
      <c r="P116" s="79"/>
      <c r="Q116" s="79"/>
      <c r="R116" s="79"/>
      <c r="S116" s="768"/>
      <c r="T116" s="768"/>
      <c r="U116" s="736"/>
    </row>
    <row r="117" spans="1:21">
      <c r="A117" s="89">
        <f>+A110+1</f>
        <v>41</v>
      </c>
      <c r="B117" s="72"/>
      <c r="C117" s="90" t="s">
        <v>585</v>
      </c>
      <c r="D117" s="72"/>
      <c r="E117" s="90" t="s">
        <v>586</v>
      </c>
      <c r="F117" s="135">
        <v>408.1</v>
      </c>
      <c r="G117" s="72"/>
      <c r="H117" s="90"/>
      <c r="I117" s="90"/>
      <c r="J117" s="90"/>
      <c r="K117" s="90"/>
      <c r="L117" s="90"/>
      <c r="M117" s="90"/>
      <c r="N117" s="90"/>
      <c r="P117" s="90"/>
      <c r="Q117" s="137"/>
      <c r="R117" s="17"/>
      <c r="S117" s="182">
        <v>29706643</v>
      </c>
      <c r="T117" s="792">
        <f>S117</f>
        <v>29706643</v>
      </c>
      <c r="U117" s="673">
        <v>0</v>
      </c>
    </row>
    <row r="118" spans="1:21">
      <c r="A118" s="89">
        <f>+A117+1</f>
        <v>42</v>
      </c>
      <c r="B118" s="72"/>
      <c r="C118" s="90" t="s">
        <v>587</v>
      </c>
      <c r="D118" s="72"/>
      <c r="E118" s="90" t="s">
        <v>588</v>
      </c>
      <c r="F118" s="135">
        <v>408.1</v>
      </c>
      <c r="G118" s="90"/>
      <c r="H118" s="90"/>
      <c r="I118" s="90"/>
      <c r="J118" s="90"/>
      <c r="K118" s="90"/>
      <c r="L118" s="90"/>
      <c r="M118" s="90"/>
      <c r="N118" s="90"/>
      <c r="P118" s="90"/>
      <c r="Q118" s="137"/>
      <c r="R118" s="17"/>
      <c r="S118" s="182">
        <v>0</v>
      </c>
      <c r="T118" s="793"/>
      <c r="U118" s="673"/>
    </row>
    <row r="119" spans="1:21">
      <c r="A119" s="89">
        <f>+A118+1</f>
        <v>43</v>
      </c>
      <c r="B119" s="72"/>
      <c r="C119" s="90" t="s">
        <v>449</v>
      </c>
      <c r="D119" s="72"/>
      <c r="E119" s="90" t="s">
        <v>589</v>
      </c>
      <c r="F119" s="135">
        <v>408.1</v>
      </c>
      <c r="G119" s="90"/>
      <c r="H119" s="90"/>
      <c r="I119" s="90"/>
      <c r="J119" s="90"/>
      <c r="K119" s="90"/>
      <c r="L119" s="90"/>
      <c r="M119" s="90"/>
      <c r="N119" s="90"/>
      <c r="P119" s="90"/>
      <c r="Q119" s="137"/>
      <c r="R119" s="17"/>
      <c r="S119" s="182">
        <v>627093</v>
      </c>
      <c r="T119" s="182"/>
      <c r="U119" s="673"/>
    </row>
    <row r="120" spans="1:21" ht="15.75" thickBot="1">
      <c r="A120" s="131"/>
      <c r="B120" s="97"/>
      <c r="C120" s="97"/>
      <c r="D120" s="97"/>
      <c r="E120" s="97"/>
      <c r="F120" s="97"/>
      <c r="G120" s="97"/>
      <c r="H120" s="97"/>
      <c r="I120" s="97"/>
      <c r="J120" s="97"/>
      <c r="K120" s="97"/>
      <c r="L120" s="97"/>
      <c r="M120" s="97"/>
      <c r="N120" s="97"/>
      <c r="O120" s="97"/>
      <c r="P120" s="97"/>
      <c r="Q120" s="97"/>
      <c r="R120" s="97"/>
      <c r="S120" s="97"/>
      <c r="T120" s="97"/>
      <c r="U120" s="99"/>
    </row>
    <row r="123" spans="1:21" ht="16.5" thickBot="1">
      <c r="A123" s="78" t="s">
        <v>590</v>
      </c>
    </row>
    <row r="124" spans="1:21" ht="32.25" thickBot="1">
      <c r="A124" s="80" t="s">
        <v>491</v>
      </c>
      <c r="B124" s="81" t="s">
        <v>492</v>
      </c>
      <c r="C124" s="81"/>
      <c r="D124" s="81"/>
      <c r="E124" s="83" t="s">
        <v>493</v>
      </c>
      <c r="F124" s="765" t="s">
        <v>494</v>
      </c>
      <c r="G124" s="101"/>
      <c r="H124" s="101"/>
      <c r="I124" s="101"/>
      <c r="J124" s="82"/>
      <c r="K124" s="82"/>
      <c r="L124" s="82"/>
      <c r="M124" s="82"/>
      <c r="N124" s="82"/>
      <c r="O124" s="82"/>
      <c r="P124" s="82"/>
      <c r="Q124" s="82"/>
      <c r="R124" s="765" t="s">
        <v>591</v>
      </c>
      <c r="S124" s="106" t="s">
        <v>526</v>
      </c>
      <c r="T124" s="765" t="s">
        <v>507</v>
      </c>
      <c r="U124" s="766"/>
    </row>
    <row r="125" spans="1:21" ht="15.75">
      <c r="A125" s="107"/>
      <c r="B125" s="108"/>
      <c r="C125" s="86"/>
      <c r="D125" s="86"/>
      <c r="E125" s="109"/>
      <c r="F125" s="109"/>
      <c r="G125" s="86"/>
      <c r="H125" s="86"/>
      <c r="I125" s="86"/>
      <c r="J125" s="115"/>
      <c r="K125" s="110"/>
      <c r="L125" s="86"/>
      <c r="M125" s="110"/>
      <c r="N125" s="110"/>
      <c r="O125" s="110"/>
      <c r="P125" s="148"/>
      <c r="Q125" s="148"/>
      <c r="R125" s="86"/>
      <c r="S125" s="86"/>
      <c r="T125" s="86"/>
      <c r="U125" s="88"/>
    </row>
    <row r="126" spans="1:21" ht="15.75">
      <c r="A126" s="89">
        <f>+A119+1</f>
        <v>44</v>
      </c>
      <c r="B126" s="78"/>
      <c r="C126" s="71" t="s">
        <v>592</v>
      </c>
      <c r="E126" s="90" t="s">
        <v>593</v>
      </c>
      <c r="F126" s="135">
        <v>427</v>
      </c>
      <c r="G126" s="72"/>
      <c r="J126" s="92"/>
      <c r="K126" s="353"/>
      <c r="M126" s="353"/>
      <c r="N126" s="353"/>
      <c r="O126" s="353"/>
      <c r="P126" s="348"/>
      <c r="Q126" s="348"/>
      <c r="R126" s="710"/>
      <c r="S126" s="794">
        <v>45210454.823129356</v>
      </c>
      <c r="T126" s="711"/>
      <c r="U126" s="94"/>
    </row>
    <row r="127" spans="1:21" ht="15.75">
      <c r="A127" s="89">
        <f t="shared" ref="A127:A134" si="7">+A126+1</f>
        <v>45</v>
      </c>
      <c r="B127" s="78"/>
      <c r="C127" s="71" t="s">
        <v>594</v>
      </c>
      <c r="E127" s="90" t="s">
        <v>595</v>
      </c>
      <c r="F127" s="135">
        <v>428</v>
      </c>
      <c r="J127" s="92"/>
      <c r="K127" s="353"/>
      <c r="M127" s="353"/>
      <c r="N127" s="353"/>
      <c r="O127" s="353"/>
      <c r="P127" s="348"/>
      <c r="Q127" s="348"/>
      <c r="R127" s="710"/>
      <c r="S127" s="794">
        <v>1366666.6666666667</v>
      </c>
      <c r="T127" s="711"/>
      <c r="U127" s="94"/>
    </row>
    <row r="128" spans="1:21" ht="15.75">
      <c r="A128" s="89">
        <f t="shared" si="7"/>
        <v>46</v>
      </c>
      <c r="B128" s="78"/>
      <c r="C128" s="71" t="s">
        <v>596</v>
      </c>
      <c r="E128" s="90" t="s">
        <v>597</v>
      </c>
      <c r="F128" s="135">
        <v>428.1</v>
      </c>
      <c r="J128" s="92"/>
      <c r="K128" s="353"/>
      <c r="M128" s="353"/>
      <c r="N128" s="353"/>
      <c r="O128" s="353"/>
      <c r="P128" s="348"/>
      <c r="Q128" s="348"/>
      <c r="R128" s="710"/>
      <c r="S128" s="794">
        <v>549361.64000011701</v>
      </c>
      <c r="T128" s="711"/>
      <c r="U128" s="94"/>
    </row>
    <row r="129" spans="1:21" ht="15.75">
      <c r="A129" s="89">
        <f t="shared" si="7"/>
        <v>47</v>
      </c>
      <c r="B129" s="78"/>
      <c r="C129" s="71" t="s">
        <v>598</v>
      </c>
      <c r="E129" s="90" t="s">
        <v>599</v>
      </c>
      <c r="F129" s="135">
        <v>429</v>
      </c>
      <c r="J129" s="92"/>
      <c r="K129" s="353"/>
      <c r="M129" s="353"/>
      <c r="N129" s="353"/>
      <c r="O129" s="353"/>
      <c r="P129" s="348"/>
      <c r="Q129" s="348"/>
      <c r="R129" s="710"/>
      <c r="S129" s="794">
        <v>0</v>
      </c>
      <c r="T129" s="711"/>
      <c r="U129" s="94"/>
    </row>
    <row r="130" spans="1:21" ht="15.75">
      <c r="A130" s="89">
        <f t="shared" si="7"/>
        <v>48</v>
      </c>
      <c r="B130" s="78"/>
      <c r="C130" s="71" t="s">
        <v>600</v>
      </c>
      <c r="E130" s="90" t="s">
        <v>601</v>
      </c>
      <c r="F130" s="135">
        <v>429.1</v>
      </c>
      <c r="J130" s="92"/>
      <c r="K130" s="353"/>
      <c r="M130" s="353"/>
      <c r="N130" s="353"/>
      <c r="O130" s="353"/>
      <c r="P130" s="348"/>
      <c r="Q130" s="348"/>
      <c r="R130" s="710"/>
      <c r="S130" s="794">
        <v>0</v>
      </c>
      <c r="T130" s="711"/>
      <c r="U130" s="94"/>
    </row>
    <row r="131" spans="1:21" ht="15.75">
      <c r="A131" s="89">
        <f t="shared" si="7"/>
        <v>49</v>
      </c>
      <c r="B131" s="78"/>
      <c r="C131" s="71" t="s">
        <v>602</v>
      </c>
      <c r="E131" s="90" t="s">
        <v>603</v>
      </c>
      <c r="F131" s="135">
        <v>430</v>
      </c>
      <c r="J131" s="92"/>
      <c r="K131" s="353"/>
      <c r="M131" s="353"/>
      <c r="N131" s="353"/>
      <c r="O131" s="353"/>
      <c r="P131" s="348"/>
      <c r="Q131" s="348"/>
      <c r="R131" s="710"/>
      <c r="S131" s="794">
        <v>0</v>
      </c>
      <c r="T131" s="711"/>
      <c r="U131" s="94"/>
    </row>
    <row r="132" spans="1:21" ht="15.75">
      <c r="A132" s="89">
        <f>+A131+1</f>
        <v>50</v>
      </c>
      <c r="B132" s="78"/>
      <c r="C132" s="71" t="s">
        <v>604</v>
      </c>
      <c r="E132" s="90"/>
      <c r="F132" s="135"/>
      <c r="J132" s="92"/>
      <c r="K132" s="353"/>
      <c r="M132" s="353"/>
      <c r="N132" s="353"/>
      <c r="O132" s="353"/>
      <c r="P132" s="348"/>
      <c r="Q132" s="348"/>
      <c r="R132" s="710"/>
      <c r="S132" s="714">
        <f>+SUM(S126:S131)</f>
        <v>47126483.12979614</v>
      </c>
      <c r="T132" s="711"/>
      <c r="U132" s="94"/>
    </row>
    <row r="133" spans="1:21" ht="15.75">
      <c r="A133" s="89">
        <f>+A132+1</f>
        <v>51</v>
      </c>
      <c r="B133" s="78"/>
      <c r="C133" s="71" t="s">
        <v>107</v>
      </c>
      <c r="E133" s="91" t="s">
        <v>605</v>
      </c>
      <c r="F133" s="490" t="s">
        <v>606</v>
      </c>
      <c r="J133" s="92"/>
      <c r="K133" s="353"/>
      <c r="M133" s="353"/>
      <c r="N133" s="353"/>
      <c r="O133" s="353"/>
      <c r="P133" s="348"/>
      <c r="Q133" s="348"/>
      <c r="R133" s="793"/>
      <c r="S133" s="794">
        <f>[31]Capitalization!E10</f>
        <v>0</v>
      </c>
      <c r="T133" s="711"/>
      <c r="U133" s="94"/>
    </row>
    <row r="134" spans="1:21">
      <c r="A134" s="89">
        <f t="shared" si="7"/>
        <v>52</v>
      </c>
      <c r="B134" s="72"/>
      <c r="C134" s="91" t="s">
        <v>110</v>
      </c>
      <c r="E134" s="93" t="s">
        <v>607</v>
      </c>
      <c r="F134" s="490" t="s">
        <v>608</v>
      </c>
      <c r="K134" s="116"/>
      <c r="L134" s="90"/>
      <c r="M134" s="38"/>
      <c r="N134" s="38"/>
      <c r="O134" s="38"/>
      <c r="Q134" s="38"/>
      <c r="R134" s="794">
        <v>-1027018431.1418294</v>
      </c>
      <c r="S134" s="794">
        <v>-1223016557.035635</v>
      </c>
      <c r="T134" s="348">
        <f>+(S134+R134)/2</f>
        <v>-1125017494.0887322</v>
      </c>
      <c r="U134" s="112"/>
    </row>
    <row r="135" spans="1:21" ht="15.75">
      <c r="A135" s="89">
        <f t="shared" ref="A135:A143" si="8">+A134+1</f>
        <v>53</v>
      </c>
      <c r="B135" s="72"/>
      <c r="C135" s="91" t="s">
        <v>609</v>
      </c>
      <c r="E135" s="93" t="s">
        <v>610</v>
      </c>
      <c r="F135" s="490">
        <v>219</v>
      </c>
      <c r="K135" s="42"/>
      <c r="L135" s="38"/>
      <c r="M135" s="138"/>
      <c r="N135" s="138"/>
      <c r="O135" s="138"/>
      <c r="P135" s="138"/>
      <c r="Q135" s="17"/>
      <c r="R135" s="794">
        <v>42119727</v>
      </c>
      <c r="S135" s="794">
        <v>38313163.5999</v>
      </c>
      <c r="T135" s="348">
        <f>+(S135+R135)/2</f>
        <v>40216445.299950004</v>
      </c>
      <c r="U135" s="112"/>
    </row>
    <row r="136" spans="1:21" ht="15.75">
      <c r="A136" s="89">
        <f t="shared" si="8"/>
        <v>54</v>
      </c>
      <c r="B136" s="72"/>
      <c r="C136" s="91" t="s">
        <v>611</v>
      </c>
      <c r="E136" s="93" t="s">
        <v>612</v>
      </c>
      <c r="F136" s="135">
        <v>216.1</v>
      </c>
      <c r="K136" s="113"/>
      <c r="L136" s="38"/>
      <c r="R136" s="794">
        <v>0</v>
      </c>
      <c r="S136" s="794">
        <v>0</v>
      </c>
      <c r="T136" s="348">
        <f>+(R136+S136)/2</f>
        <v>0</v>
      </c>
      <c r="U136" s="94"/>
    </row>
    <row r="137" spans="1:21">
      <c r="A137" s="89">
        <f t="shared" si="8"/>
        <v>55</v>
      </c>
      <c r="B137" s="72"/>
      <c r="C137" s="91" t="s">
        <v>114</v>
      </c>
      <c r="E137" s="93" t="s">
        <v>613</v>
      </c>
      <c r="F137" s="490" t="s">
        <v>614</v>
      </c>
      <c r="R137" s="794">
        <v>-1021824385.9674034</v>
      </c>
      <c r="S137" s="794">
        <v>-1021632314.4786396</v>
      </c>
      <c r="T137" s="348">
        <f>+(R137+S137)/2</f>
        <v>-1021728350.2230215</v>
      </c>
      <c r="U137" s="94"/>
    </row>
    <row r="138" spans="1:21">
      <c r="A138" s="89">
        <f>+A137+1</f>
        <v>56</v>
      </c>
      <c r="B138" s="72"/>
      <c r="C138" s="91" t="s">
        <v>615</v>
      </c>
      <c r="E138" s="93" t="s">
        <v>616</v>
      </c>
      <c r="F138" s="490">
        <v>181</v>
      </c>
      <c r="R138" s="794">
        <v>0</v>
      </c>
      <c r="S138" s="794">
        <v>0</v>
      </c>
      <c r="T138" s="348">
        <f>+(R138+S138)/2</f>
        <v>0</v>
      </c>
      <c r="U138" s="94"/>
    </row>
    <row r="139" spans="1:21">
      <c r="A139" s="89">
        <f>+A138+1</f>
        <v>57</v>
      </c>
      <c r="B139" s="72"/>
      <c r="C139" s="91" t="s">
        <v>617</v>
      </c>
      <c r="E139" s="93" t="s">
        <v>618</v>
      </c>
      <c r="F139" s="490">
        <v>189</v>
      </c>
      <c r="R139" s="794">
        <v>1057643.3999999389</v>
      </c>
      <c r="S139" s="794">
        <v>508281.75999982189</v>
      </c>
      <c r="T139" s="348">
        <f>+(S139+R139)/2</f>
        <v>782962.5799998804</v>
      </c>
      <c r="U139" s="94"/>
    </row>
    <row r="140" spans="1:21">
      <c r="A140" s="89">
        <f t="shared" si="8"/>
        <v>58</v>
      </c>
      <c r="B140" s="72"/>
      <c r="C140" s="91" t="s">
        <v>619</v>
      </c>
      <c r="E140" s="93" t="s">
        <v>620</v>
      </c>
      <c r="F140" s="490">
        <v>225</v>
      </c>
      <c r="R140" s="794">
        <v>0</v>
      </c>
      <c r="S140" s="794">
        <v>0</v>
      </c>
      <c r="T140" s="348">
        <f t="shared" ref="T140:T141" si="9">+(S140+R140)/2</f>
        <v>0</v>
      </c>
      <c r="U140" s="94"/>
    </row>
    <row r="141" spans="1:21">
      <c r="A141" s="89">
        <f t="shared" si="8"/>
        <v>59</v>
      </c>
      <c r="B141" s="72"/>
      <c r="C141" s="91" t="s">
        <v>621</v>
      </c>
      <c r="E141" s="93" t="s">
        <v>622</v>
      </c>
      <c r="F141" s="490">
        <v>226</v>
      </c>
      <c r="R141" s="794">
        <v>2505198</v>
      </c>
      <c r="S141" s="794">
        <v>2413823</v>
      </c>
      <c r="T141" s="348">
        <f t="shared" si="9"/>
        <v>2459510.5</v>
      </c>
      <c r="U141" s="94"/>
    </row>
    <row r="142" spans="1:21">
      <c r="A142" s="89">
        <f t="shared" si="8"/>
        <v>60</v>
      </c>
      <c r="B142" s="72"/>
      <c r="C142" s="91" t="s">
        <v>623</v>
      </c>
      <c r="E142" s="93" t="s">
        <v>624</v>
      </c>
      <c r="F142" s="490">
        <v>257</v>
      </c>
      <c r="R142" s="794">
        <v>0</v>
      </c>
      <c r="S142" s="794">
        <v>0</v>
      </c>
      <c r="T142" s="348">
        <f>+(R142+S142)/2</f>
        <v>0</v>
      </c>
      <c r="U142" s="94"/>
    </row>
    <row r="143" spans="1:21">
      <c r="A143" s="89">
        <f t="shared" si="8"/>
        <v>61</v>
      </c>
      <c r="B143" s="72"/>
      <c r="C143" s="91" t="s">
        <v>625</v>
      </c>
      <c r="E143" s="449" t="s">
        <v>626</v>
      </c>
      <c r="F143" s="490" t="s">
        <v>627</v>
      </c>
      <c r="R143" s="795">
        <f>+'1C - ADIT Prior Year'!D78</f>
        <v>-857412</v>
      </c>
      <c r="S143" s="852">
        <f>+'1A - ADIT'!D83</f>
        <v>-385279</v>
      </c>
      <c r="T143" s="348">
        <f>+(R143+S143)/2</f>
        <v>-621345.5</v>
      </c>
      <c r="U143" s="94"/>
    </row>
    <row r="144" spans="1:21">
      <c r="A144" s="89">
        <f>+A143+1</f>
        <v>62</v>
      </c>
      <c r="B144" s="72"/>
      <c r="C144" s="91" t="s">
        <v>628</v>
      </c>
      <c r="E144" s="449" t="s">
        <v>629</v>
      </c>
      <c r="F144" s="490">
        <v>176</v>
      </c>
      <c r="R144" s="794">
        <v>0</v>
      </c>
      <c r="S144" s="794">
        <v>0</v>
      </c>
      <c r="T144" s="348">
        <f t="shared" ref="T144:T145" si="10">+(R144+S144)/2</f>
        <v>0</v>
      </c>
      <c r="U144" s="94"/>
    </row>
    <row r="145" spans="1:21">
      <c r="A145" s="89">
        <f>+A144+1</f>
        <v>63</v>
      </c>
      <c r="B145" s="72"/>
      <c r="C145" s="91" t="s">
        <v>630</v>
      </c>
      <c r="E145" s="449" t="s">
        <v>631</v>
      </c>
      <c r="F145" s="490">
        <v>245</v>
      </c>
      <c r="R145" s="794">
        <v>0</v>
      </c>
      <c r="S145" s="794">
        <v>0</v>
      </c>
      <c r="T145" s="348">
        <f t="shared" si="10"/>
        <v>0</v>
      </c>
      <c r="U145" s="94"/>
    </row>
    <row r="146" spans="1:21" ht="15.75" thickBot="1">
      <c r="A146" s="105">
        <f>+A145+1</f>
        <v>64</v>
      </c>
      <c r="B146" s="98"/>
      <c r="C146" s="139" t="s">
        <v>126</v>
      </c>
      <c r="D146" s="97"/>
      <c r="E146" s="140" t="s">
        <v>632</v>
      </c>
      <c r="F146" s="492">
        <v>204</v>
      </c>
      <c r="G146" s="97"/>
      <c r="H146" s="97"/>
      <c r="I146" s="97"/>
      <c r="J146" s="97"/>
      <c r="K146" s="97"/>
      <c r="L146" s="97"/>
      <c r="M146" s="97"/>
      <c r="N146" s="97"/>
      <c r="O146" s="97"/>
      <c r="P146" s="97"/>
      <c r="Q146" s="97"/>
      <c r="R146" s="796">
        <v>0</v>
      </c>
      <c r="S146" s="796">
        <v>0</v>
      </c>
      <c r="T146" s="715">
        <v>0</v>
      </c>
      <c r="U146" s="99"/>
    </row>
    <row r="148" spans="1:21" ht="15.75">
      <c r="A148" s="73"/>
    </row>
    <row r="149" spans="1:21" ht="16.5" thickBot="1">
      <c r="A149" s="78" t="s">
        <v>633</v>
      </c>
    </row>
    <row r="150" spans="1:21" ht="32.25" thickBot="1">
      <c r="A150" s="80" t="s">
        <v>491</v>
      </c>
      <c r="B150" s="81" t="s">
        <v>492</v>
      </c>
      <c r="C150" s="81"/>
      <c r="D150" s="81"/>
      <c r="E150" s="83" t="s">
        <v>493</v>
      </c>
      <c r="F150" s="765" t="s">
        <v>494</v>
      </c>
      <c r="G150" s="82"/>
      <c r="H150" s="82"/>
      <c r="I150" s="82"/>
      <c r="J150" s="82"/>
      <c r="K150" s="82"/>
      <c r="L150" s="82"/>
      <c r="M150" s="82"/>
      <c r="N150" s="82"/>
      <c r="O150" s="82"/>
      <c r="P150" s="82"/>
      <c r="Q150" s="82"/>
      <c r="R150" s="82"/>
      <c r="S150" s="765" t="s">
        <v>634</v>
      </c>
      <c r="T150" s="765" t="s">
        <v>635</v>
      </c>
      <c r="U150" s="766" t="s">
        <v>636</v>
      </c>
    </row>
    <row r="151" spans="1:21" ht="15.75">
      <c r="A151" s="89" t="s">
        <v>143</v>
      </c>
      <c r="B151" s="141" t="s">
        <v>144</v>
      </c>
      <c r="E151" s="91"/>
      <c r="F151" s="91"/>
      <c r="U151" s="94"/>
    </row>
    <row r="152" spans="1:21" ht="15.75">
      <c r="A152" s="89"/>
      <c r="B152" s="141"/>
      <c r="E152" s="91"/>
      <c r="F152" s="91"/>
      <c r="G152" s="92"/>
      <c r="H152" s="91"/>
      <c r="I152" s="91"/>
      <c r="J152" s="91"/>
      <c r="K152" s="91"/>
      <c r="L152" s="91"/>
      <c r="M152" s="91"/>
      <c r="N152" s="91"/>
      <c r="O152" s="91"/>
      <c r="P152" s="91"/>
      <c r="Q152" s="91"/>
      <c r="R152" s="91"/>
      <c r="S152" s="79" t="s">
        <v>637</v>
      </c>
      <c r="T152" s="79"/>
      <c r="U152" s="130"/>
    </row>
    <row r="153" spans="1:21">
      <c r="A153" s="89">
        <f>+A146+1</f>
        <v>65</v>
      </c>
      <c r="B153" s="72"/>
      <c r="C153" s="90" t="str">
        <f>+'Appendix A'!C212</f>
        <v>SIT=State Income Tax Rate or Composite</v>
      </c>
      <c r="D153" s="142"/>
      <c r="E153" s="90"/>
      <c r="F153" s="90"/>
      <c r="G153" s="90"/>
      <c r="H153" s="90"/>
      <c r="I153" s="90"/>
      <c r="J153" s="90"/>
      <c r="K153" s="90"/>
      <c r="L153" s="90"/>
      <c r="M153" s="90"/>
      <c r="N153" s="90"/>
      <c r="O153" s="90"/>
      <c r="P153" s="90"/>
      <c r="Q153" s="90"/>
      <c r="R153" s="90"/>
      <c r="S153" s="797">
        <v>0</v>
      </c>
      <c r="T153" s="143"/>
      <c r="U153" s="144"/>
    </row>
    <row r="154" spans="1:21" ht="15.75" thickBot="1">
      <c r="A154" s="105">
        <f>+A153+1</f>
        <v>66</v>
      </c>
      <c r="B154" s="97"/>
      <c r="C154" s="97" t="s">
        <v>638</v>
      </c>
      <c r="D154" s="97"/>
      <c r="E154" s="97"/>
      <c r="F154" s="97"/>
      <c r="G154" s="97"/>
      <c r="H154" s="97"/>
      <c r="I154" s="97"/>
      <c r="J154" s="97"/>
      <c r="K154" s="97"/>
      <c r="L154" s="97"/>
      <c r="M154" s="97"/>
      <c r="N154" s="97"/>
      <c r="O154" s="97"/>
      <c r="P154" s="97"/>
      <c r="Q154" s="97"/>
      <c r="R154" s="97"/>
      <c r="S154" s="798">
        <v>1.8200000000000001E-2</v>
      </c>
      <c r="T154" s="97"/>
      <c r="U154" s="99"/>
    </row>
    <row r="157" spans="1:21" ht="16.5" thickBot="1">
      <c r="A157" s="78" t="s">
        <v>639</v>
      </c>
    </row>
    <row r="158" spans="1:21" ht="32.25" thickBot="1">
      <c r="A158" s="80" t="s">
        <v>491</v>
      </c>
      <c r="B158" s="81" t="s">
        <v>492</v>
      </c>
      <c r="C158" s="81"/>
      <c r="D158" s="81"/>
      <c r="E158" s="83" t="s">
        <v>493</v>
      </c>
      <c r="F158" s="765" t="s">
        <v>494</v>
      </c>
      <c r="G158" s="101"/>
      <c r="H158" s="82"/>
      <c r="I158" s="82"/>
      <c r="J158" s="82"/>
      <c r="K158" s="82"/>
      <c r="L158" s="82"/>
      <c r="M158" s="82"/>
      <c r="N158" s="82"/>
      <c r="O158" s="82"/>
      <c r="P158" s="82"/>
      <c r="Q158" s="82"/>
      <c r="R158" s="82"/>
      <c r="S158" s="106" t="s">
        <v>526</v>
      </c>
      <c r="T158" s="914"/>
      <c r="U158" s="915"/>
    </row>
    <row r="159" spans="1:21" ht="15.75">
      <c r="A159" s="89"/>
      <c r="B159" s="78"/>
      <c r="C159" s="72"/>
      <c r="D159" s="72"/>
      <c r="E159" s="72"/>
      <c r="F159" s="72"/>
      <c r="H159" s="72"/>
      <c r="I159" s="72"/>
      <c r="J159" s="72"/>
      <c r="K159" s="72"/>
      <c r="L159" s="72"/>
      <c r="M159" s="72"/>
      <c r="N159" s="72"/>
      <c r="O159" s="72"/>
      <c r="P159" s="72"/>
      <c r="Q159" s="72"/>
      <c r="R159" s="72"/>
      <c r="S159" s="72"/>
      <c r="U159" s="94"/>
    </row>
    <row r="160" spans="1:21" ht="15.75">
      <c r="A160" s="89">
        <f>+A154+1</f>
        <v>67</v>
      </c>
      <c r="B160" s="72"/>
      <c r="C160" s="90" t="s">
        <v>640</v>
      </c>
      <c r="D160" s="72"/>
      <c r="E160" s="90" t="s">
        <v>641</v>
      </c>
      <c r="F160" s="135">
        <v>411.4</v>
      </c>
      <c r="G160" s="72"/>
      <c r="H160" s="90"/>
      <c r="I160" s="90"/>
      <c r="J160" s="90"/>
      <c r="K160" s="90"/>
      <c r="L160" s="90"/>
      <c r="M160" s="90"/>
      <c r="N160" s="90"/>
      <c r="O160" s="90"/>
      <c r="P160" s="90"/>
      <c r="Q160" s="90"/>
      <c r="R160" s="90"/>
      <c r="S160" s="182">
        <v>-32505</v>
      </c>
      <c r="T160" s="918"/>
      <c r="U160" s="919"/>
    </row>
    <row r="161" spans="1:21" ht="15.75">
      <c r="A161" s="89">
        <f>+A160+1</f>
        <v>68</v>
      </c>
      <c r="B161" s="72"/>
      <c r="C161" s="90" t="s">
        <v>642</v>
      </c>
      <c r="D161" s="72"/>
      <c r="E161" s="90" t="s">
        <v>641</v>
      </c>
      <c r="F161" s="135">
        <v>411.4</v>
      </c>
      <c r="G161" s="72"/>
      <c r="H161" s="90"/>
      <c r="I161" s="90"/>
      <c r="J161" s="90"/>
      <c r="K161" s="90"/>
      <c r="L161" s="90"/>
      <c r="M161" s="90"/>
      <c r="N161" s="90"/>
      <c r="O161" s="90"/>
      <c r="P161" s="90"/>
      <c r="Q161" s="90"/>
      <c r="R161" s="90"/>
      <c r="S161" s="182">
        <v>-2006</v>
      </c>
      <c r="T161" s="918"/>
      <c r="U161" s="919"/>
    </row>
    <row r="162" spans="1:21" ht="16.5" thickBot="1">
      <c r="A162" s="105">
        <f>+A161+1</f>
        <v>69</v>
      </c>
      <c r="B162" s="98"/>
      <c r="C162" s="96" t="s">
        <v>643</v>
      </c>
      <c r="D162" s="98"/>
      <c r="E162" s="835" t="s">
        <v>965</v>
      </c>
      <c r="F162" s="136"/>
      <c r="G162" s="98"/>
      <c r="H162" s="98"/>
      <c r="I162" s="98"/>
      <c r="J162" s="98"/>
      <c r="K162" s="98"/>
      <c r="L162" s="98"/>
      <c r="M162" s="98"/>
      <c r="N162" s="98"/>
      <c r="O162" s="98"/>
      <c r="P162" s="98"/>
      <c r="Q162" s="98"/>
      <c r="R162" s="98"/>
      <c r="S162" s="787">
        <v>320451</v>
      </c>
      <c r="T162" s="763"/>
      <c r="U162" s="764"/>
    </row>
    <row r="163" spans="1:21" ht="15.75">
      <c r="A163" s="72"/>
      <c r="B163" s="72"/>
      <c r="C163" s="90"/>
      <c r="D163" s="72"/>
      <c r="E163" s="90"/>
      <c r="F163" s="135"/>
      <c r="G163" s="90"/>
      <c r="H163" s="72"/>
      <c r="I163" s="72"/>
      <c r="J163" s="72"/>
      <c r="K163" s="72"/>
      <c r="L163" s="72"/>
      <c r="M163" s="72"/>
      <c r="N163" s="72"/>
      <c r="O163" s="72"/>
      <c r="P163" s="72"/>
      <c r="Q163" s="72"/>
      <c r="R163" s="72"/>
      <c r="S163" s="662"/>
      <c r="T163" s="768"/>
      <c r="U163" s="768"/>
    </row>
    <row r="164" spans="1:21" ht="15.75">
      <c r="A164" s="72"/>
      <c r="B164" s="72"/>
      <c r="C164" s="79"/>
      <c r="D164" s="72"/>
      <c r="E164" s="72"/>
      <c r="F164" s="72"/>
      <c r="G164" s="72"/>
      <c r="H164" s="72"/>
      <c r="I164" s="72"/>
      <c r="J164" s="72"/>
      <c r="K164" s="72"/>
      <c r="L164" s="72"/>
      <c r="M164" s="72"/>
      <c r="N164" s="72"/>
      <c r="O164" s="72"/>
      <c r="P164" s="72"/>
      <c r="Q164" s="72"/>
      <c r="R164" s="72"/>
    </row>
    <row r="165" spans="1:21" ht="16.5" thickBot="1">
      <c r="A165" s="78" t="s">
        <v>644</v>
      </c>
    </row>
    <row r="166" spans="1:21" ht="32.25" thickBot="1">
      <c r="A166" s="118" t="s">
        <v>491</v>
      </c>
      <c r="B166" s="119" t="s">
        <v>492</v>
      </c>
      <c r="C166" s="119"/>
      <c r="D166" s="119"/>
      <c r="E166" s="83" t="s">
        <v>493</v>
      </c>
      <c r="F166" s="765" t="s">
        <v>494</v>
      </c>
      <c r="G166" s="82" t="s">
        <v>495</v>
      </c>
      <c r="H166" s="82" t="s">
        <v>496</v>
      </c>
      <c r="I166" s="82" t="s">
        <v>497</v>
      </c>
      <c r="J166" s="82" t="s">
        <v>498</v>
      </c>
      <c r="K166" s="82" t="s">
        <v>499</v>
      </c>
      <c r="L166" s="82" t="s">
        <v>374</v>
      </c>
      <c r="M166" s="82" t="s">
        <v>500</v>
      </c>
      <c r="N166" s="82" t="s">
        <v>501</v>
      </c>
      <c r="O166" s="82" t="s">
        <v>502</v>
      </c>
      <c r="P166" s="82" t="s">
        <v>503</v>
      </c>
      <c r="Q166" s="82" t="s">
        <v>504</v>
      </c>
      <c r="R166" s="82" t="s">
        <v>505</v>
      </c>
      <c r="S166" s="82" t="s">
        <v>506</v>
      </c>
      <c r="T166" s="765" t="s">
        <v>507</v>
      </c>
      <c r="U166" s="766"/>
    </row>
    <row r="167" spans="1:21" ht="15.75">
      <c r="A167" s="124"/>
      <c r="B167" s="85"/>
      <c r="C167" s="85"/>
      <c r="D167" s="85"/>
      <c r="E167" s="630"/>
      <c r="F167" s="126"/>
      <c r="G167" s="125"/>
      <c r="H167" s="125"/>
      <c r="I167" s="125"/>
      <c r="J167" s="125"/>
      <c r="K167" s="125"/>
      <c r="L167" s="125"/>
      <c r="M167" s="125"/>
      <c r="N167" s="125"/>
      <c r="O167" s="125"/>
      <c r="P167" s="125"/>
      <c r="Q167" s="125"/>
      <c r="R167" s="125"/>
      <c r="S167" s="127"/>
      <c r="T167" s="127"/>
      <c r="U167" s="145"/>
    </row>
    <row r="168" spans="1:21">
      <c r="A168" s="89">
        <f>+A162+1</f>
        <v>70</v>
      </c>
      <c r="C168" s="71" t="str">
        <f>+'Appendix A'!C258</f>
        <v>Excluded Transmission Facilities</v>
      </c>
      <c r="E168" s="90">
        <v>206</v>
      </c>
      <c r="F168" s="135" t="s">
        <v>516</v>
      </c>
      <c r="G168" s="799">
        <v>2437670</v>
      </c>
      <c r="H168" s="799">
        <v>2437670</v>
      </c>
      <c r="I168" s="799">
        <v>2437670</v>
      </c>
      <c r="J168" s="799">
        <v>2473101</v>
      </c>
      <c r="K168" s="799">
        <v>2473101</v>
      </c>
      <c r="L168" s="799">
        <v>2473101</v>
      </c>
      <c r="M168" s="799">
        <v>2473101</v>
      </c>
      <c r="N168" s="799">
        <v>2473101</v>
      </c>
      <c r="O168" s="799">
        <v>2473101</v>
      </c>
      <c r="P168" s="799">
        <v>2473101</v>
      </c>
      <c r="Q168" s="799">
        <v>2473101</v>
      </c>
      <c r="R168" s="799">
        <v>2473101</v>
      </c>
      <c r="S168" s="799">
        <v>2473101</v>
      </c>
      <c r="T168" s="41">
        <f>+AVERAGE(G168:S168)</f>
        <v>2464924.6153846155</v>
      </c>
      <c r="U168" s="94"/>
    </row>
    <row r="169" spans="1:21" ht="15.75" thickBot="1">
      <c r="A169" s="131"/>
      <c r="B169" s="97"/>
      <c r="C169" s="97"/>
      <c r="D169" s="97"/>
      <c r="E169" s="97"/>
      <c r="F169" s="97"/>
      <c r="G169" s="97"/>
      <c r="H169" s="139"/>
      <c r="I169" s="97"/>
      <c r="J169" s="97"/>
      <c r="K169" s="97"/>
      <c r="L169" s="97"/>
      <c r="M169" s="97"/>
      <c r="N169" s="97"/>
      <c r="O169" s="97"/>
      <c r="P169" s="97"/>
      <c r="Q169" s="97"/>
      <c r="R169" s="97"/>
      <c r="S169" s="97"/>
      <c r="T169" s="97"/>
      <c r="U169" s="99"/>
    </row>
    <row r="171" spans="1:21">
      <c r="A171" s="72"/>
      <c r="B171" s="72"/>
      <c r="C171" s="72"/>
      <c r="D171" s="72"/>
      <c r="E171" s="72"/>
      <c r="F171" s="72"/>
      <c r="G171" s="72"/>
      <c r="H171" s="72"/>
      <c r="I171" s="72"/>
      <c r="J171" s="72"/>
      <c r="K171" s="72"/>
      <c r="L171" s="72"/>
      <c r="M171" s="72"/>
      <c r="N171" s="72"/>
      <c r="O171" s="72"/>
      <c r="P171" s="72"/>
      <c r="Q171" s="72"/>
      <c r="R171" s="72"/>
    </row>
    <row r="172" spans="1:21" ht="16.5" thickBot="1">
      <c r="A172" s="78" t="s">
        <v>197</v>
      </c>
    </row>
    <row r="173" spans="1:21" ht="32.25" thickBot="1">
      <c r="A173" s="118" t="s">
        <v>491</v>
      </c>
      <c r="B173" s="119" t="s">
        <v>492</v>
      </c>
      <c r="C173" s="119"/>
      <c r="D173" s="119"/>
      <c r="E173" s="83" t="s">
        <v>493</v>
      </c>
      <c r="F173" s="765" t="s">
        <v>494</v>
      </c>
      <c r="G173" s="120"/>
      <c r="H173" s="120"/>
      <c r="I173" s="120"/>
      <c r="J173" s="120"/>
      <c r="K173" s="120"/>
      <c r="L173" s="120"/>
      <c r="M173" s="120"/>
      <c r="N173" s="120"/>
      <c r="O173" s="120"/>
      <c r="P173" s="120"/>
      <c r="Q173" s="120"/>
      <c r="R173" s="120"/>
      <c r="S173" s="767" t="s">
        <v>526</v>
      </c>
      <c r="T173" s="916"/>
      <c r="U173" s="917"/>
    </row>
    <row r="174" spans="1:21" ht="15.75">
      <c r="A174" s="124"/>
      <c r="B174" s="85"/>
      <c r="C174" s="85"/>
      <c r="D174" s="85"/>
      <c r="E174" s="126"/>
      <c r="F174" s="126"/>
      <c r="G174" s="125"/>
      <c r="H174" s="125"/>
      <c r="I174" s="125"/>
      <c r="J174" s="125"/>
      <c r="K174" s="125"/>
      <c r="L174" s="125"/>
      <c r="M174" s="125"/>
      <c r="N174" s="125"/>
      <c r="O174" s="125"/>
      <c r="P174" s="125"/>
      <c r="Q174" s="125"/>
      <c r="R174" s="125"/>
      <c r="S174" s="127"/>
      <c r="T174" s="127"/>
      <c r="U174" s="128"/>
    </row>
    <row r="175" spans="1:21" ht="15.75">
      <c r="A175" s="89">
        <f>+A168+1</f>
        <v>71</v>
      </c>
      <c r="B175" s="72"/>
      <c r="C175" s="90" t="str">
        <f>+'Appendix A'!C283</f>
        <v>Facility Credits under Section 30.9 of the PJM OATT</v>
      </c>
      <c r="E175" s="72"/>
      <c r="F175" s="490" t="str">
        <f>"(Appendix A, Note "&amp;'Appendix A'!B315&amp;")"</f>
        <v>(Appendix A, Note S)</v>
      </c>
      <c r="G175" s="135"/>
      <c r="H175" s="72"/>
      <c r="I175" s="72"/>
      <c r="J175" s="72"/>
      <c r="K175" s="72"/>
      <c r="L175" s="72"/>
      <c r="M175" s="72"/>
      <c r="N175" s="72"/>
      <c r="O175" s="72"/>
      <c r="P175" s="72"/>
      <c r="Q175" s="72"/>
      <c r="R175" s="72"/>
      <c r="S175" s="791">
        <v>0</v>
      </c>
      <c r="T175" s="918"/>
      <c r="U175" s="919"/>
    </row>
    <row r="176" spans="1:21" ht="15.75" thickBot="1">
      <c r="A176" s="105"/>
      <c r="B176" s="98"/>
      <c r="C176" s="98"/>
      <c r="D176" s="98"/>
      <c r="E176" s="98"/>
      <c r="F176" s="98"/>
      <c r="G176" s="98"/>
      <c r="H176" s="98"/>
      <c r="I176" s="98"/>
      <c r="J176" s="98"/>
      <c r="K176" s="98"/>
      <c r="L176" s="98"/>
      <c r="M176" s="98"/>
      <c r="N176" s="98"/>
      <c r="O176" s="98"/>
      <c r="P176" s="98"/>
      <c r="Q176" s="98"/>
      <c r="R176" s="98"/>
      <c r="S176" s="97"/>
      <c r="T176" s="97"/>
      <c r="U176" s="99"/>
    </row>
    <row r="179" spans="1:21" ht="16.5" thickBot="1">
      <c r="A179" s="78" t="s">
        <v>645</v>
      </c>
    </row>
    <row r="180" spans="1:21" ht="32.25" thickBot="1">
      <c r="A180" s="118" t="s">
        <v>491</v>
      </c>
      <c r="B180" s="119" t="s">
        <v>492</v>
      </c>
      <c r="C180" s="119"/>
      <c r="D180" s="119"/>
      <c r="E180" s="83" t="s">
        <v>493</v>
      </c>
      <c r="F180" s="765" t="s">
        <v>494</v>
      </c>
      <c r="G180" s="120"/>
      <c r="H180" s="120"/>
      <c r="I180" s="120"/>
      <c r="J180" s="120"/>
      <c r="K180" s="120"/>
      <c r="L180" s="120"/>
      <c r="M180" s="120"/>
      <c r="N180" s="120"/>
      <c r="O180" s="120"/>
      <c r="P180" s="120"/>
      <c r="Q180" s="120"/>
      <c r="R180" s="120"/>
      <c r="S180" s="767" t="s">
        <v>646</v>
      </c>
      <c r="T180" s="914"/>
      <c r="U180" s="915"/>
    </row>
    <row r="181" spans="1:21" ht="15.75">
      <c r="A181" s="124"/>
      <c r="B181" s="85"/>
      <c r="C181" s="85"/>
      <c r="D181" s="85"/>
      <c r="E181" s="126"/>
      <c r="F181" s="126"/>
      <c r="G181" s="125"/>
      <c r="H181" s="125"/>
      <c r="I181" s="125"/>
      <c r="J181" s="125"/>
      <c r="K181" s="125"/>
      <c r="L181" s="125"/>
      <c r="M181" s="125"/>
      <c r="N181" s="125"/>
      <c r="O181" s="125"/>
      <c r="P181" s="125"/>
      <c r="Q181" s="125"/>
      <c r="R181" s="125"/>
      <c r="S181" s="127"/>
      <c r="T181" s="127"/>
      <c r="U181" s="128"/>
    </row>
    <row r="182" spans="1:21" ht="15.75">
      <c r="A182" s="89"/>
      <c r="B182" s="78" t="s">
        <v>647</v>
      </c>
      <c r="G182" s="72"/>
      <c r="U182" s="94"/>
    </row>
    <row r="183" spans="1:21" ht="15.75">
      <c r="A183" s="89">
        <f>+A175+1</f>
        <v>72</v>
      </c>
      <c r="B183" s="72"/>
      <c r="C183" s="90" t="s">
        <v>648</v>
      </c>
      <c r="D183" s="90"/>
      <c r="E183" s="90" t="s">
        <v>649</v>
      </c>
      <c r="F183" s="135" t="s">
        <v>606</v>
      </c>
      <c r="H183" s="90"/>
      <c r="I183" s="90"/>
      <c r="J183" s="90"/>
      <c r="K183" s="90"/>
      <c r="L183" s="90"/>
      <c r="M183" s="90"/>
      <c r="N183" s="90"/>
      <c r="O183" s="90"/>
      <c r="P183" s="90"/>
      <c r="Q183" s="90"/>
      <c r="R183" s="90"/>
      <c r="S183" s="800">
        <v>3361.6</v>
      </c>
      <c r="T183" s="918"/>
      <c r="U183" s="919"/>
    </row>
    <row r="184" spans="1:21" ht="15.75" thickBot="1">
      <c r="A184" s="131"/>
      <c r="B184" s="97"/>
      <c r="C184" s="97"/>
      <c r="D184" s="97"/>
      <c r="E184" s="97"/>
      <c r="F184" s="97"/>
      <c r="G184" s="97"/>
      <c r="H184" s="97"/>
      <c r="I184" s="97"/>
      <c r="J184" s="97"/>
      <c r="K184" s="97"/>
      <c r="L184" s="97"/>
      <c r="M184" s="97"/>
      <c r="N184" s="97"/>
      <c r="O184" s="97"/>
      <c r="P184" s="97"/>
      <c r="Q184" s="97"/>
      <c r="R184" s="97"/>
      <c r="S184" s="97"/>
      <c r="T184" s="97"/>
      <c r="U184" s="99"/>
    </row>
    <row r="185" spans="1:21">
      <c r="D185" s="146"/>
    </row>
    <row r="186" spans="1:21" ht="15.75">
      <c r="A186" s="78"/>
      <c r="U186" s="533"/>
    </row>
    <row r="187" spans="1:21" ht="16.5" thickBot="1">
      <c r="A187" s="58" t="s">
        <v>46</v>
      </c>
      <c r="B187" s="45"/>
      <c r="C187" s="45"/>
      <c r="D187" s="45"/>
      <c r="E187" s="45"/>
      <c r="F187" s="45"/>
      <c r="G187" s="45"/>
      <c r="H187" s="45"/>
      <c r="I187" s="45"/>
      <c r="J187" s="45"/>
      <c r="K187" s="62"/>
      <c r="L187" s="62"/>
      <c r="M187" s="62"/>
      <c r="N187" s="62"/>
      <c r="O187" s="62"/>
      <c r="P187" s="62"/>
      <c r="Q187" s="62"/>
      <c r="R187" s="62"/>
      <c r="S187" s="45"/>
      <c r="T187" s="45"/>
      <c r="U187" s="45"/>
    </row>
    <row r="188" spans="1:21" ht="32.25" thickBot="1">
      <c r="A188" s="80" t="s">
        <v>491</v>
      </c>
      <c r="B188" s="81" t="s">
        <v>492</v>
      </c>
      <c r="C188" s="81"/>
      <c r="D188" s="81"/>
      <c r="E188" s="83" t="s">
        <v>493</v>
      </c>
      <c r="F188" s="765" t="s">
        <v>494</v>
      </c>
      <c r="G188" s="82"/>
      <c r="H188" s="82" t="s">
        <v>650</v>
      </c>
      <c r="I188" s="82" t="s">
        <v>651</v>
      </c>
      <c r="J188" s="82" t="s">
        <v>652</v>
      </c>
      <c r="K188" s="82" t="s">
        <v>67</v>
      </c>
      <c r="L188" s="82"/>
      <c r="M188" s="82"/>
      <c r="N188" s="82"/>
      <c r="O188" s="82"/>
      <c r="P188" s="82"/>
      <c r="Q188" s="82"/>
      <c r="R188" s="82"/>
      <c r="S188" s="765"/>
      <c r="T188" s="914"/>
      <c r="U188" s="915"/>
    </row>
    <row r="189" spans="1:21">
      <c r="A189" s="54"/>
      <c r="B189" s="52"/>
      <c r="C189" s="52"/>
      <c r="D189" s="52"/>
      <c r="E189" s="57"/>
      <c r="F189" s="57"/>
      <c r="G189" s="52"/>
      <c r="H189" s="53"/>
      <c r="I189" s="53"/>
      <c r="J189" s="53"/>
      <c r="K189" s="49"/>
      <c r="L189" s="49"/>
      <c r="M189" s="49"/>
      <c r="N189" s="49"/>
      <c r="O189" s="49"/>
      <c r="P189" s="49"/>
      <c r="Q189" s="49"/>
      <c r="R189" s="49"/>
      <c r="S189" s="44"/>
      <c r="T189" s="50"/>
      <c r="U189" s="51"/>
    </row>
    <row r="190" spans="1:21" ht="15.75">
      <c r="A190" s="351">
        <f>+A183+1</f>
        <v>73</v>
      </c>
      <c r="B190" s="45"/>
      <c r="C190" s="45" t="s">
        <v>653</v>
      </c>
      <c r="D190" s="52"/>
      <c r="E190" s="45" t="s">
        <v>654</v>
      </c>
      <c r="F190" s="45">
        <v>182.1</v>
      </c>
      <c r="G190" s="52"/>
      <c r="H190" s="801">
        <v>0</v>
      </c>
      <c r="I190" s="801">
        <v>0</v>
      </c>
      <c r="J190" s="801">
        <v>0</v>
      </c>
      <c r="K190" s="602">
        <f>+H190+I190+J190</f>
        <v>0</v>
      </c>
      <c r="L190" s="60"/>
      <c r="M190" s="60"/>
      <c r="N190" s="60"/>
      <c r="O190" s="60"/>
      <c r="P190" s="60"/>
      <c r="Q190" s="60"/>
      <c r="R190" s="60"/>
      <c r="S190" s="159"/>
      <c r="T190" s="61"/>
      <c r="U190" s="63"/>
    </row>
    <row r="191" spans="1:21" ht="15.75">
      <c r="A191" s="351">
        <f>+A190+1</f>
        <v>74</v>
      </c>
      <c r="B191" s="45"/>
      <c r="C191" s="45" t="s">
        <v>655</v>
      </c>
      <c r="D191" s="53"/>
      <c r="E191" s="45" t="str">
        <f>+E190</f>
        <v>Per FERC Order</v>
      </c>
      <c r="F191" s="45"/>
      <c r="G191" s="52"/>
      <c r="H191" s="801">
        <v>0</v>
      </c>
      <c r="I191" s="801">
        <v>0</v>
      </c>
      <c r="J191" s="801">
        <v>0</v>
      </c>
      <c r="K191" s="602"/>
      <c r="L191" s="60"/>
      <c r="M191" s="60"/>
      <c r="N191" s="60"/>
      <c r="O191" s="60"/>
      <c r="P191" s="60"/>
      <c r="Q191" s="60"/>
      <c r="R191" s="60"/>
      <c r="S191" s="159"/>
      <c r="T191" s="61"/>
      <c r="U191" s="63"/>
    </row>
    <row r="192" spans="1:21" ht="15.75">
      <c r="A192" s="351">
        <f>+A191+1</f>
        <v>75</v>
      </c>
      <c r="B192" s="45"/>
      <c r="C192" s="45" t="s">
        <v>656</v>
      </c>
      <c r="D192" s="53"/>
      <c r="E192" s="45" t="str">
        <f>"(Line "&amp;A190&amp;") / (Line "&amp;A191&amp;")"</f>
        <v>(Line 73) / (Line 74)</v>
      </c>
      <c r="F192" s="45">
        <v>407</v>
      </c>
      <c r="G192" s="52"/>
      <c r="H192" s="801">
        <v>0</v>
      </c>
      <c r="I192" s="802">
        <v>0</v>
      </c>
      <c r="J192" s="801">
        <v>0</v>
      </c>
      <c r="K192" s="602">
        <f>+H192+I192+J192</f>
        <v>0</v>
      </c>
      <c r="L192" s="60"/>
      <c r="M192" s="60"/>
      <c r="N192" s="60"/>
      <c r="O192" s="60"/>
      <c r="P192" s="60"/>
      <c r="Q192" s="60"/>
      <c r="R192" s="60"/>
      <c r="S192" s="159"/>
      <c r="T192" s="61"/>
      <c r="U192" s="63"/>
    </row>
    <row r="193" spans="1:21" ht="15.75">
      <c r="A193" s="351"/>
      <c r="B193" s="45"/>
      <c r="C193" s="45"/>
      <c r="D193" s="53"/>
      <c r="E193" s="45"/>
      <c r="F193" s="45"/>
      <c r="G193" s="52"/>
      <c r="H193" s="604"/>
      <c r="I193" s="604"/>
      <c r="J193" s="604"/>
      <c r="K193" s="602"/>
      <c r="L193" s="60"/>
      <c r="M193" s="60"/>
      <c r="N193" s="60"/>
      <c r="O193" s="60"/>
      <c r="P193" s="60"/>
      <c r="Q193" s="60"/>
      <c r="R193" s="60"/>
      <c r="S193" s="159"/>
      <c r="T193" s="61"/>
      <c r="U193" s="63"/>
    </row>
    <row r="194" spans="1:21" ht="15.75">
      <c r="A194" s="351">
        <f>+A192+1</f>
        <v>76</v>
      </c>
      <c r="B194" s="45"/>
      <c r="C194" s="45" t="s">
        <v>657</v>
      </c>
      <c r="D194" s="53"/>
      <c r="E194" s="45" t="str">
        <f>"(Line "&amp;A190&amp;") - (Line "&amp;A192&amp;")"</f>
        <v>(Line 73) - (Line 75)</v>
      </c>
      <c r="F194" s="45">
        <v>182.1</v>
      </c>
      <c r="G194" s="55"/>
      <c r="H194" s="604">
        <f>+H190-H192</f>
        <v>0</v>
      </c>
      <c r="I194" s="604">
        <f>+I190-I192</f>
        <v>0</v>
      </c>
      <c r="J194" s="604">
        <f>+J190-J192</f>
        <v>0</v>
      </c>
      <c r="K194" s="602">
        <f>+H194+I194+J194</f>
        <v>0</v>
      </c>
      <c r="L194" s="60"/>
      <c r="M194" s="60"/>
      <c r="N194" s="60"/>
      <c r="O194" s="60"/>
      <c r="P194" s="60"/>
      <c r="Q194" s="60"/>
      <c r="R194" s="60"/>
      <c r="S194" s="159"/>
      <c r="T194" s="61"/>
      <c r="U194" s="63"/>
    </row>
    <row r="195" spans="1:21" ht="15.75">
      <c r="A195" s="351">
        <f>+A194+1</f>
        <v>77</v>
      </c>
      <c r="B195" s="45"/>
      <c r="C195" s="45" t="s">
        <v>658</v>
      </c>
      <c r="D195" s="53"/>
      <c r="E195" s="45" t="str">
        <f>"(Line "&amp;A190&amp;") + (Line "&amp;A194&amp;") / 2"</f>
        <v>(Line 73) + (Line 76) / 2</v>
      </c>
      <c r="F195" s="45"/>
      <c r="G195" s="52"/>
      <c r="H195" s="603">
        <f>+H190/2+H194/2</f>
        <v>0</v>
      </c>
      <c r="I195" s="604">
        <f>+I190/2+I194/2</f>
        <v>0</v>
      </c>
      <c r="J195" s="603">
        <f>+J190/2+J194/2</f>
        <v>0</v>
      </c>
      <c r="K195" s="602">
        <f>+H195+I195+J195</f>
        <v>0</v>
      </c>
      <c r="L195" s="60"/>
      <c r="M195" s="60"/>
      <c r="N195" s="60"/>
      <c r="O195" s="60"/>
      <c r="P195" s="60"/>
      <c r="Q195" s="60"/>
      <c r="R195" s="60"/>
      <c r="S195" s="159"/>
      <c r="T195" s="61"/>
      <c r="U195" s="63"/>
    </row>
    <row r="196" spans="1:21">
      <c r="A196" s="349"/>
      <c r="B196" s="45"/>
      <c r="C196" s="52"/>
      <c r="D196" s="53"/>
      <c r="E196" s="45"/>
      <c r="F196" s="45"/>
      <c r="G196" s="52"/>
      <c r="H196" s="52"/>
      <c r="I196" s="52"/>
      <c r="J196" s="52"/>
      <c r="K196" s="52"/>
      <c r="L196" s="62"/>
      <c r="M196" s="62"/>
      <c r="N196" s="62"/>
      <c r="O196" s="62"/>
      <c r="P196" s="62"/>
      <c r="Q196" s="62"/>
      <c r="R196" s="62"/>
      <c r="S196" s="45"/>
      <c r="T196" s="45"/>
      <c r="U196" s="64"/>
    </row>
    <row r="197" spans="1:21" ht="15.75" thickBot="1">
      <c r="A197" s="350"/>
      <c r="B197" s="56"/>
      <c r="C197" s="56" t="s">
        <v>659</v>
      </c>
      <c r="D197" s="65"/>
      <c r="E197" s="56"/>
      <c r="F197" s="56"/>
      <c r="G197" s="56"/>
      <c r="H197" s="65" t="s">
        <v>660</v>
      </c>
      <c r="I197" s="65" t="s">
        <v>661</v>
      </c>
      <c r="J197" s="65" t="s">
        <v>660</v>
      </c>
      <c r="K197" s="65"/>
      <c r="L197" s="66"/>
      <c r="M197" s="67"/>
      <c r="N197" s="67"/>
      <c r="O197" s="67"/>
      <c r="P197" s="67"/>
      <c r="Q197" s="67"/>
      <c r="R197" s="67"/>
      <c r="S197" s="56"/>
      <c r="T197" s="56"/>
      <c r="U197" s="68"/>
    </row>
    <row r="200" spans="1:21" ht="16.5" thickBot="1">
      <c r="A200" s="78" t="s">
        <v>662</v>
      </c>
      <c r="G200" s="100"/>
      <c r="H200" s="922"/>
      <c r="I200" s="922"/>
      <c r="J200" s="922"/>
      <c r="K200" s="922"/>
      <c r="L200" s="922"/>
      <c r="M200" s="922"/>
      <c r="N200" s="922"/>
      <c r="O200" s="922"/>
      <c r="P200" s="922"/>
      <c r="Q200" s="922"/>
      <c r="R200" s="922"/>
      <c r="S200" s="922"/>
    </row>
    <row r="201" spans="1:21" ht="32.25" thickBot="1">
      <c r="A201" s="80" t="s">
        <v>491</v>
      </c>
      <c r="B201" s="81" t="s">
        <v>492</v>
      </c>
      <c r="C201" s="81"/>
      <c r="D201" s="81"/>
      <c r="E201" s="83" t="s">
        <v>493</v>
      </c>
      <c r="F201" s="765" t="s">
        <v>494</v>
      </c>
      <c r="G201" s="101"/>
      <c r="H201" s="101"/>
      <c r="I201" s="101"/>
      <c r="J201" s="101"/>
      <c r="K201" s="101"/>
      <c r="L201" s="101"/>
      <c r="M201" s="101"/>
      <c r="N201" s="101"/>
      <c r="O201" s="101"/>
      <c r="P201" s="101"/>
      <c r="Q201" s="765" t="s">
        <v>534</v>
      </c>
      <c r="R201" s="765" t="s">
        <v>663</v>
      </c>
      <c r="S201" s="765" t="s">
        <v>664</v>
      </c>
      <c r="T201" s="765" t="s">
        <v>507</v>
      </c>
      <c r="U201" s="766"/>
    </row>
    <row r="202" spans="1:21">
      <c r="A202" s="89"/>
      <c r="C202" s="90"/>
      <c r="E202" s="91"/>
      <c r="F202" s="91"/>
      <c r="Q202" s="17"/>
      <c r="R202" s="17"/>
      <c r="S202" s="12"/>
      <c r="T202" s="12"/>
      <c r="U202" s="94"/>
    </row>
    <row r="203" spans="1:21">
      <c r="A203" s="89">
        <f>+A195+1</f>
        <v>78</v>
      </c>
      <c r="C203" s="90" t="s">
        <v>43</v>
      </c>
      <c r="E203" s="836" t="s">
        <v>966</v>
      </c>
      <c r="F203" s="490">
        <v>254</v>
      </c>
      <c r="J203" s="17"/>
      <c r="Q203" s="803">
        <f>+'9 - Excess ADIT'!T38+'9 - Excess ADIT'!T64</f>
        <v>-23854437.419145383</v>
      </c>
      <c r="R203" s="803">
        <f>+'9 - Excess ADIT'!U70</f>
        <v>-2801311.8514752002</v>
      </c>
      <c r="S203" s="803">
        <f>+'9 - Excess ADIT'!V38+'9 - Excess ADIT'!V64</f>
        <v>-21053125.567670178</v>
      </c>
      <c r="T203" s="41">
        <f>+(S203+Q203)/2</f>
        <v>-22453781.493407778</v>
      </c>
      <c r="U203" s="94"/>
    </row>
    <row r="204" spans="1:21" ht="16.5" thickBot="1">
      <c r="A204" s="105"/>
      <c r="B204" s="98"/>
      <c r="C204" s="95"/>
      <c r="D204" s="98"/>
      <c r="E204" s="96"/>
      <c r="F204" s="96"/>
      <c r="G204" s="97"/>
      <c r="H204" s="97"/>
      <c r="I204" s="117"/>
      <c r="J204" s="96"/>
      <c r="K204" s="96"/>
      <c r="L204" s="96"/>
      <c r="M204" s="96"/>
      <c r="N204" s="96"/>
      <c r="O204" s="96"/>
      <c r="P204" s="96"/>
      <c r="Q204" s="96"/>
      <c r="R204" s="96"/>
      <c r="S204" s="139"/>
      <c r="T204" s="910"/>
      <c r="U204" s="911"/>
    </row>
    <row r="206" spans="1:21" ht="18">
      <c r="U206" s="627"/>
    </row>
    <row r="207" spans="1:21" ht="16.5" thickBot="1">
      <c r="A207" s="78" t="s">
        <v>62</v>
      </c>
      <c r="G207" s="100"/>
      <c r="H207" s="922"/>
      <c r="I207" s="922"/>
      <c r="J207" s="922"/>
      <c r="K207" s="922"/>
      <c r="L207" s="922"/>
      <c r="M207" s="922"/>
      <c r="N207" s="922"/>
      <c r="O207" s="922"/>
      <c r="P207" s="922"/>
      <c r="Q207" s="922"/>
      <c r="R207" s="922"/>
      <c r="S207" s="922"/>
      <c r="U207" s="533"/>
    </row>
    <row r="208" spans="1:21" ht="32.25" thickBot="1">
      <c r="A208" s="80" t="s">
        <v>491</v>
      </c>
      <c r="B208" s="81" t="s">
        <v>492</v>
      </c>
      <c r="C208" s="81"/>
      <c r="D208" s="81"/>
      <c r="E208" s="83" t="s">
        <v>493</v>
      </c>
      <c r="F208" s="765" t="s">
        <v>494</v>
      </c>
      <c r="G208" s="82" t="s">
        <v>495</v>
      </c>
      <c r="H208" s="82" t="s">
        <v>496</v>
      </c>
      <c r="I208" s="82" t="s">
        <v>497</v>
      </c>
      <c r="J208" s="82" t="s">
        <v>498</v>
      </c>
      <c r="K208" s="82" t="s">
        <v>499</v>
      </c>
      <c r="L208" s="82" t="s">
        <v>374</v>
      </c>
      <c r="M208" s="82" t="s">
        <v>500</v>
      </c>
      <c r="N208" s="82" t="s">
        <v>501</v>
      </c>
      <c r="O208" s="82" t="s">
        <v>502</v>
      </c>
      <c r="P208" s="82" t="s">
        <v>503</v>
      </c>
      <c r="Q208" s="82" t="s">
        <v>504</v>
      </c>
      <c r="R208" s="82" t="s">
        <v>505</v>
      </c>
      <c r="S208" s="82" t="s">
        <v>506</v>
      </c>
      <c r="T208" s="765" t="s">
        <v>507</v>
      </c>
      <c r="U208" s="766"/>
    </row>
    <row r="209" spans="1:21">
      <c r="A209" s="89"/>
      <c r="C209" s="90"/>
      <c r="E209" s="91"/>
      <c r="F209" s="91"/>
      <c r="Q209" s="17"/>
      <c r="R209" s="17"/>
      <c r="S209" s="12"/>
      <c r="T209" s="12"/>
      <c r="U209" s="94"/>
    </row>
    <row r="210" spans="1:21" ht="15.75">
      <c r="A210" s="89"/>
      <c r="B210" s="78" t="s">
        <v>62</v>
      </c>
      <c r="C210" s="90"/>
      <c r="E210" s="91"/>
      <c r="F210" s="91"/>
      <c r="G210" s="72"/>
      <c r="Q210" s="17"/>
      <c r="R210" s="17"/>
      <c r="S210" s="12"/>
      <c r="T210" s="12"/>
      <c r="U210" s="94"/>
    </row>
    <row r="211" spans="1:21">
      <c r="A211" s="89"/>
      <c r="C211" s="90"/>
      <c r="E211" s="91"/>
      <c r="F211" s="91"/>
      <c r="Q211" s="17"/>
      <c r="R211" s="17"/>
      <c r="S211" s="12"/>
      <c r="T211" s="12"/>
      <c r="U211" s="94"/>
    </row>
    <row r="212" spans="1:21">
      <c r="A212" s="89">
        <f>+A203+1</f>
        <v>79</v>
      </c>
      <c r="C212" s="90" t="s">
        <v>63</v>
      </c>
      <c r="E212" s="71" t="s">
        <v>665</v>
      </c>
      <c r="F212" s="135">
        <v>228.1</v>
      </c>
      <c r="G212" s="804">
        <v>0</v>
      </c>
      <c r="H212" s="804">
        <v>0</v>
      </c>
      <c r="I212" s="804">
        <v>0</v>
      </c>
      <c r="J212" s="804">
        <v>0</v>
      </c>
      <c r="K212" s="804">
        <v>0</v>
      </c>
      <c r="L212" s="804">
        <v>0</v>
      </c>
      <c r="M212" s="804">
        <v>0</v>
      </c>
      <c r="N212" s="804">
        <v>0</v>
      </c>
      <c r="O212" s="804">
        <v>0</v>
      </c>
      <c r="P212" s="804">
        <v>0</v>
      </c>
      <c r="Q212" s="804">
        <v>0</v>
      </c>
      <c r="R212" s="804">
        <v>0</v>
      </c>
      <c r="S212" s="804">
        <v>0</v>
      </c>
      <c r="T212" s="41">
        <f>AVERAGE(G212:S212)</f>
        <v>0</v>
      </c>
      <c r="U212" s="94"/>
    </row>
    <row r="213" spans="1:21">
      <c r="A213" s="89">
        <f>+A212+1</f>
        <v>80</v>
      </c>
      <c r="C213" s="90" t="s">
        <v>65</v>
      </c>
      <c r="E213" s="71" t="s">
        <v>666</v>
      </c>
      <c r="F213" s="135">
        <v>228.2</v>
      </c>
      <c r="G213" s="804">
        <v>-1279790</v>
      </c>
      <c r="H213" s="804">
        <v>-1279790</v>
      </c>
      <c r="I213" s="804">
        <v>-1279790</v>
      </c>
      <c r="J213" s="804">
        <v>-1329790</v>
      </c>
      <c r="K213" s="804">
        <v>-1329790</v>
      </c>
      <c r="L213" s="804">
        <v>-1329790</v>
      </c>
      <c r="M213" s="804">
        <v>-1279790</v>
      </c>
      <c r="N213" s="804">
        <v>-1279790</v>
      </c>
      <c r="O213" s="804">
        <v>-1279790</v>
      </c>
      <c r="P213" s="804">
        <v>-1279790</v>
      </c>
      <c r="Q213" s="804">
        <v>-1279790</v>
      </c>
      <c r="R213" s="804">
        <v>-1279790</v>
      </c>
      <c r="S213" s="804">
        <v>-1073423</v>
      </c>
      <c r="T213" s="41">
        <f>AVERAGE(G213:S213)</f>
        <v>-1275454.076923077</v>
      </c>
      <c r="U213" s="94"/>
    </row>
    <row r="214" spans="1:21">
      <c r="A214" s="89">
        <f>+A213+1</f>
        <v>81</v>
      </c>
      <c r="C214" s="90" t="s">
        <v>667</v>
      </c>
      <c r="E214" s="71" t="s">
        <v>668</v>
      </c>
      <c r="F214" s="135">
        <v>228.3</v>
      </c>
      <c r="G214" s="804">
        <v>-1809773</v>
      </c>
      <c r="H214" s="804">
        <v>-1751912</v>
      </c>
      <c r="I214" s="804">
        <v>-1753608</v>
      </c>
      <c r="J214" s="804">
        <v>-1754933</v>
      </c>
      <c r="K214" s="804">
        <v>-1784530</v>
      </c>
      <c r="L214" s="804">
        <v>-1697324</v>
      </c>
      <c r="M214" s="804">
        <v>-1700025</v>
      </c>
      <c r="N214" s="804">
        <v>-1713205</v>
      </c>
      <c r="O214" s="804">
        <v>-1716528</v>
      </c>
      <c r="P214" s="804">
        <v>-1719743</v>
      </c>
      <c r="Q214" s="804">
        <v>-1726280</v>
      </c>
      <c r="R214" s="804">
        <v>-1726280</v>
      </c>
      <c r="S214" s="804">
        <v>-1741509</v>
      </c>
      <c r="T214" s="41">
        <f>AVERAGE(G214:S214)</f>
        <v>-1738126.923076923</v>
      </c>
      <c r="U214" s="94"/>
    </row>
    <row r="215" spans="1:21">
      <c r="A215" s="89">
        <f>+A214+1</f>
        <v>82</v>
      </c>
      <c r="C215" s="90" t="s">
        <v>669</v>
      </c>
      <c r="E215" s="71" t="s">
        <v>670</v>
      </c>
      <c r="F215" s="135">
        <v>228.4</v>
      </c>
      <c r="G215" s="804">
        <v>0</v>
      </c>
      <c r="H215" s="804">
        <v>0</v>
      </c>
      <c r="I215" s="804">
        <v>0</v>
      </c>
      <c r="J215" s="804">
        <v>0</v>
      </c>
      <c r="K215" s="804">
        <v>0</v>
      </c>
      <c r="L215" s="804">
        <v>0</v>
      </c>
      <c r="M215" s="804">
        <v>0</v>
      </c>
      <c r="N215" s="804">
        <v>0</v>
      </c>
      <c r="O215" s="804">
        <v>0</v>
      </c>
      <c r="P215" s="804">
        <v>0</v>
      </c>
      <c r="Q215" s="804">
        <v>0</v>
      </c>
      <c r="R215" s="804">
        <v>0</v>
      </c>
      <c r="S215" s="804">
        <v>0</v>
      </c>
      <c r="T215" s="41">
        <f>AVERAGE(G215:S215)</f>
        <v>0</v>
      </c>
      <c r="U215" s="94"/>
    </row>
    <row r="216" spans="1:21">
      <c r="A216" s="89"/>
      <c r="C216" s="90"/>
      <c r="J216" s="17"/>
      <c r="Q216" s="37"/>
      <c r="R216" s="37"/>
      <c r="S216" s="37"/>
      <c r="T216" s="37"/>
      <c r="U216" s="94"/>
    </row>
    <row r="217" spans="1:21" ht="16.5" thickBot="1">
      <c r="A217" s="385" t="s">
        <v>671</v>
      </c>
      <c r="B217" s="98"/>
      <c r="C217" s="95"/>
      <c r="D217" s="98"/>
      <c r="E217" s="96"/>
      <c r="F217" s="96"/>
      <c r="G217" s="97"/>
      <c r="H217" s="97"/>
      <c r="I217" s="117"/>
      <c r="J217" s="96"/>
      <c r="K217" s="96"/>
      <c r="L217" s="96"/>
      <c r="M217" s="96"/>
      <c r="N217" s="96"/>
      <c r="O217" s="96"/>
      <c r="P217" s="96"/>
      <c r="Q217" s="96"/>
      <c r="R217" s="96"/>
      <c r="S217" s="97"/>
      <c r="T217" s="910"/>
      <c r="U217" s="911"/>
    </row>
    <row r="219" spans="1:21" ht="16.5" thickBot="1">
      <c r="A219" s="78" t="s">
        <v>72</v>
      </c>
      <c r="G219" s="100"/>
      <c r="H219" s="922"/>
      <c r="I219" s="922"/>
      <c r="J219" s="922"/>
      <c r="K219" s="922"/>
      <c r="L219" s="922"/>
      <c r="M219" s="922"/>
      <c r="N219" s="922"/>
      <c r="O219" s="922"/>
      <c r="P219" s="922"/>
      <c r="Q219" s="922"/>
      <c r="R219" s="922"/>
      <c r="S219" s="922"/>
    </row>
    <row r="220" spans="1:21" ht="32.25" thickBot="1">
      <c r="A220" s="80" t="s">
        <v>491</v>
      </c>
      <c r="B220" s="81" t="s">
        <v>492</v>
      </c>
      <c r="C220" s="81"/>
      <c r="D220" s="81"/>
      <c r="E220" s="83" t="s">
        <v>493</v>
      </c>
      <c r="F220" s="765" t="s">
        <v>494</v>
      </c>
      <c r="G220" s="82" t="s">
        <v>495</v>
      </c>
      <c r="H220" s="82" t="s">
        <v>496</v>
      </c>
      <c r="I220" s="82" t="s">
        <v>497</v>
      </c>
      <c r="J220" s="82" t="s">
        <v>498</v>
      </c>
      <c r="K220" s="82" t="s">
        <v>499</v>
      </c>
      <c r="L220" s="82" t="s">
        <v>374</v>
      </c>
      <c r="M220" s="82" t="s">
        <v>500</v>
      </c>
      <c r="N220" s="82" t="s">
        <v>501</v>
      </c>
      <c r="O220" s="82" t="s">
        <v>502</v>
      </c>
      <c r="P220" s="82" t="s">
        <v>503</v>
      </c>
      <c r="Q220" s="82" t="s">
        <v>504</v>
      </c>
      <c r="R220" s="82" t="s">
        <v>505</v>
      </c>
      <c r="S220" s="82" t="s">
        <v>506</v>
      </c>
      <c r="T220" s="765" t="s">
        <v>507</v>
      </c>
      <c r="U220" s="766"/>
    </row>
    <row r="221" spans="1:21">
      <c r="A221" s="89"/>
      <c r="C221" s="90"/>
      <c r="E221" s="91"/>
      <c r="F221" s="91"/>
      <c r="Q221" s="17"/>
      <c r="R221" s="17"/>
      <c r="S221" s="12"/>
      <c r="T221" s="12"/>
      <c r="U221" s="94"/>
    </row>
    <row r="222" spans="1:21">
      <c r="A222" s="89">
        <f>+A215+1</f>
        <v>83</v>
      </c>
      <c r="C222" s="90" t="s">
        <v>672</v>
      </c>
      <c r="E222" s="71" t="s">
        <v>673</v>
      </c>
      <c r="F222" s="71">
        <v>253</v>
      </c>
      <c r="G222" s="805">
        <v>-8149</v>
      </c>
      <c r="H222" s="805">
        <v>-8149</v>
      </c>
      <c r="I222" s="805">
        <v>-8149</v>
      </c>
      <c r="J222" s="805">
        <v>-8149</v>
      </c>
      <c r="K222" s="805">
        <v>-8149</v>
      </c>
      <c r="L222" s="805">
        <v>-8149</v>
      </c>
      <c r="M222" s="805">
        <v>-8149</v>
      </c>
      <c r="N222" s="805">
        <v>-8149</v>
      </c>
      <c r="O222" s="805">
        <v>-8149</v>
      </c>
      <c r="P222" s="805">
        <v>-8149</v>
      </c>
      <c r="Q222" s="805">
        <v>-8149</v>
      </c>
      <c r="R222" s="805">
        <v>-8149</v>
      </c>
      <c r="S222" s="805">
        <v>0</v>
      </c>
      <c r="T222" s="41">
        <f>AVERAGE(G222:S222)</f>
        <v>-7522.1538461538457</v>
      </c>
      <c r="U222" s="94"/>
    </row>
    <row r="223" spans="1:21" ht="16.5" thickBot="1">
      <c r="A223" s="385"/>
      <c r="B223" s="98"/>
      <c r="C223" s="95"/>
      <c r="D223" s="98"/>
      <c r="E223" s="96"/>
      <c r="F223" s="96"/>
      <c r="G223" s="97"/>
      <c r="H223" s="97"/>
      <c r="I223" s="117"/>
      <c r="J223" s="96"/>
      <c r="K223" s="96"/>
      <c r="L223" s="96"/>
      <c r="M223" s="96"/>
      <c r="N223" s="96"/>
      <c r="O223" s="96"/>
      <c r="P223" s="96"/>
      <c r="Q223" s="96"/>
      <c r="R223" s="96"/>
      <c r="S223" s="97"/>
      <c r="T223" s="910"/>
      <c r="U223" s="911"/>
    </row>
    <row r="227" spans="1:21" ht="16.5" thickBot="1">
      <c r="A227" s="73" t="s">
        <v>71</v>
      </c>
    </row>
    <row r="228" spans="1:21" ht="32.25" thickBot="1">
      <c r="A228" s="80" t="s">
        <v>491</v>
      </c>
      <c r="B228" s="81" t="s">
        <v>492</v>
      </c>
      <c r="C228" s="81"/>
      <c r="D228" s="81"/>
      <c r="E228" s="83" t="s">
        <v>493</v>
      </c>
      <c r="F228" s="765" t="s">
        <v>494</v>
      </c>
      <c r="G228" s="82" t="s">
        <v>495</v>
      </c>
      <c r="H228" s="82" t="s">
        <v>496</v>
      </c>
      <c r="I228" s="82" t="s">
        <v>497</v>
      </c>
      <c r="J228" s="82" t="s">
        <v>498</v>
      </c>
      <c r="K228" s="82" t="s">
        <v>499</v>
      </c>
      <c r="L228" s="82" t="s">
        <v>374</v>
      </c>
      <c r="M228" s="82" t="s">
        <v>500</v>
      </c>
      <c r="N228" s="82" t="s">
        <v>501</v>
      </c>
      <c r="O228" s="82" t="s">
        <v>502</v>
      </c>
      <c r="P228" s="82" t="s">
        <v>503</v>
      </c>
      <c r="Q228" s="82" t="s">
        <v>504</v>
      </c>
      <c r="R228" s="82" t="s">
        <v>505</v>
      </c>
      <c r="S228" s="82" t="s">
        <v>506</v>
      </c>
      <c r="T228" s="765" t="s">
        <v>507</v>
      </c>
      <c r="U228" s="766"/>
    </row>
    <row r="229" spans="1:21">
      <c r="A229" s="89">
        <f>+A222+1</f>
        <v>84</v>
      </c>
      <c r="C229" s="90" t="s">
        <v>674</v>
      </c>
      <c r="E229" s="91" t="s">
        <v>675</v>
      </c>
      <c r="F229" s="490">
        <v>252</v>
      </c>
      <c r="G229" s="805">
        <v>0</v>
      </c>
      <c r="H229" s="805">
        <v>0</v>
      </c>
      <c r="I229" s="805">
        <v>0</v>
      </c>
      <c r="J229" s="805">
        <v>0</v>
      </c>
      <c r="K229" s="805">
        <v>0</v>
      </c>
      <c r="L229" s="805">
        <v>0</v>
      </c>
      <c r="M229" s="805">
        <v>0</v>
      </c>
      <c r="N229" s="805">
        <v>0</v>
      </c>
      <c r="O229" s="805">
        <v>0</v>
      </c>
      <c r="P229" s="805">
        <v>0</v>
      </c>
      <c r="Q229" s="805">
        <v>0</v>
      </c>
      <c r="R229" s="805">
        <v>0</v>
      </c>
      <c r="S229" s="805">
        <v>0</v>
      </c>
      <c r="T229" s="41">
        <f>AVERAGE(G229:S229)</f>
        <v>0</v>
      </c>
      <c r="U229" s="94"/>
    </row>
    <row r="230" spans="1:21">
      <c r="A230" s="89">
        <f>+A229+1</f>
        <v>85</v>
      </c>
      <c r="C230" s="90" t="s">
        <v>676</v>
      </c>
      <c r="E230" s="91" t="s">
        <v>677</v>
      </c>
      <c r="F230" s="490">
        <v>235</v>
      </c>
      <c r="G230" s="805">
        <v>0</v>
      </c>
      <c r="H230" s="805">
        <v>0</v>
      </c>
      <c r="I230" s="805">
        <v>0</v>
      </c>
      <c r="J230" s="805">
        <v>0</v>
      </c>
      <c r="K230" s="805">
        <v>0</v>
      </c>
      <c r="L230" s="805">
        <v>0</v>
      </c>
      <c r="M230" s="805">
        <v>0</v>
      </c>
      <c r="N230" s="805">
        <v>0</v>
      </c>
      <c r="O230" s="805">
        <v>0</v>
      </c>
      <c r="P230" s="805">
        <v>0</v>
      </c>
      <c r="Q230" s="805">
        <v>0</v>
      </c>
      <c r="R230" s="805">
        <v>0</v>
      </c>
      <c r="S230" s="805">
        <v>0</v>
      </c>
      <c r="T230" s="41">
        <f>AVERAGE(G230:S230)</f>
        <v>0</v>
      </c>
      <c r="U230" s="94"/>
    </row>
    <row r="231" spans="1:21">
      <c r="A231" s="89">
        <f>+A230+1</f>
        <v>86</v>
      </c>
      <c r="C231" s="90" t="s">
        <v>67</v>
      </c>
      <c r="E231" s="91"/>
      <c r="F231" s="490"/>
      <c r="G231" s="718"/>
      <c r="H231" s="718"/>
      <c r="I231" s="718"/>
      <c r="J231" s="718"/>
      <c r="K231" s="718"/>
      <c r="L231" s="718"/>
      <c r="M231" s="718"/>
      <c r="N231" s="718"/>
      <c r="O231" s="718"/>
      <c r="P231" s="718"/>
      <c r="Q231" s="718"/>
      <c r="R231" s="718"/>
      <c r="S231" s="718"/>
      <c r="T231" s="41">
        <f>+T229+T230</f>
        <v>0</v>
      </c>
      <c r="U231" s="94"/>
    </row>
    <row r="232" spans="1:21" ht="15.75" thickBot="1">
      <c r="A232" s="385"/>
      <c r="B232" s="97"/>
      <c r="C232" s="96"/>
      <c r="D232" s="97"/>
      <c r="E232" s="97" t="s">
        <v>678</v>
      </c>
      <c r="F232" s="97"/>
      <c r="G232" s="21"/>
      <c r="H232" s="21"/>
      <c r="I232" s="21"/>
      <c r="J232" s="21"/>
      <c r="K232" s="21"/>
      <c r="L232" s="21"/>
      <c r="M232" s="21"/>
      <c r="N232" s="21"/>
      <c r="O232" s="21"/>
      <c r="P232" s="21"/>
      <c r="Q232" s="21"/>
      <c r="R232" s="21"/>
      <c r="S232" s="21"/>
      <c r="T232" s="21"/>
      <c r="U232" s="99"/>
    </row>
    <row r="235" spans="1:21" ht="16.5" thickBot="1">
      <c r="A235" s="73" t="s">
        <v>73</v>
      </c>
    </row>
    <row r="236" spans="1:21" ht="32.25" thickBot="1">
      <c r="A236" s="80" t="s">
        <v>491</v>
      </c>
      <c r="B236" s="81" t="s">
        <v>492</v>
      </c>
      <c r="C236" s="81"/>
      <c r="D236" s="81"/>
      <c r="E236" s="83" t="s">
        <v>493</v>
      </c>
      <c r="F236" s="765" t="s">
        <v>494</v>
      </c>
      <c r="G236" s="448"/>
      <c r="H236" s="101"/>
      <c r="I236" s="101"/>
      <c r="J236" s="101"/>
      <c r="K236" s="101"/>
      <c r="L236" s="101"/>
      <c r="M236" s="101"/>
      <c r="N236" s="101"/>
      <c r="O236" s="101"/>
      <c r="P236" s="101"/>
      <c r="Q236" s="101"/>
      <c r="R236" s="765"/>
      <c r="S236" s="765"/>
      <c r="T236" s="765" t="s">
        <v>507</v>
      </c>
      <c r="U236" s="102"/>
    </row>
    <row r="237" spans="1:21">
      <c r="A237" s="89">
        <f>+A231+1</f>
        <v>87</v>
      </c>
      <c r="C237" s="90" t="s">
        <v>679</v>
      </c>
      <c r="E237" s="71" t="s">
        <v>680</v>
      </c>
      <c r="F237" s="490">
        <v>242</v>
      </c>
      <c r="G237" s="72"/>
      <c r="R237" s="41"/>
      <c r="S237" s="41"/>
      <c r="T237" s="41">
        <f>+'10 - Misc. Liabilities'!W22</f>
        <v>-1342261.4652957532</v>
      </c>
      <c r="U237" s="94"/>
    </row>
    <row r="238" spans="1:21" ht="15.75" thickBot="1">
      <c r="A238" s="131"/>
      <c r="B238" s="97"/>
      <c r="C238" s="97"/>
      <c r="D238" s="97"/>
      <c r="E238" s="97"/>
      <c r="F238" s="97"/>
      <c r="G238" s="97"/>
      <c r="H238" s="97"/>
      <c r="I238" s="97"/>
      <c r="J238" s="97"/>
      <c r="K238" s="97"/>
      <c r="L238" s="97"/>
      <c r="M238" s="97"/>
      <c r="N238" s="97"/>
      <c r="O238" s="97"/>
      <c r="P238" s="97"/>
      <c r="Q238" s="97"/>
      <c r="R238" s="97"/>
      <c r="S238" s="97"/>
      <c r="T238" s="97"/>
      <c r="U238" s="99"/>
    </row>
    <row r="239" spans="1:21" ht="15.75" thickBot="1"/>
    <row r="240" spans="1:21" ht="16.5" thickBot="1">
      <c r="A240" s="73" t="s">
        <v>681</v>
      </c>
      <c r="G240" s="189" t="s">
        <v>490</v>
      </c>
      <c r="H240" s="923" t="s">
        <v>682</v>
      </c>
      <c r="I240" s="924"/>
      <c r="J240" s="924"/>
      <c r="K240" s="924"/>
      <c r="L240" s="924"/>
      <c r="M240" s="924"/>
      <c r="N240" s="924"/>
      <c r="O240" s="924"/>
      <c r="P240" s="924"/>
      <c r="Q240" s="924"/>
      <c r="R240" s="924"/>
      <c r="S240" s="925"/>
    </row>
    <row r="241" spans="1:21" ht="32.25" thickBot="1">
      <c r="A241" s="80" t="s">
        <v>491</v>
      </c>
      <c r="B241" s="81" t="s">
        <v>492</v>
      </c>
      <c r="C241" s="81"/>
      <c r="D241" s="81"/>
      <c r="E241" s="83" t="s">
        <v>493</v>
      </c>
      <c r="F241" s="765" t="s">
        <v>494</v>
      </c>
      <c r="G241" s="498" t="s">
        <v>495</v>
      </c>
      <c r="H241" s="82" t="s">
        <v>496</v>
      </c>
      <c r="I241" s="82" t="s">
        <v>497</v>
      </c>
      <c r="J241" s="82" t="s">
        <v>498</v>
      </c>
      <c r="K241" s="82" t="s">
        <v>499</v>
      </c>
      <c r="L241" s="82" t="s">
        <v>374</v>
      </c>
      <c r="M241" s="82" t="s">
        <v>500</v>
      </c>
      <c r="N241" s="82" t="s">
        <v>501</v>
      </c>
      <c r="O241" s="82" t="s">
        <v>502</v>
      </c>
      <c r="P241" s="82" t="s">
        <v>503</v>
      </c>
      <c r="Q241" s="82" t="s">
        <v>504</v>
      </c>
      <c r="R241" s="82" t="s">
        <v>505</v>
      </c>
      <c r="S241" s="82" t="s">
        <v>506</v>
      </c>
      <c r="T241" s="766" t="s">
        <v>507</v>
      </c>
      <c r="U241" s="768"/>
    </row>
    <row r="242" spans="1:21">
      <c r="A242" s="89"/>
      <c r="B242" s="71" t="str">
        <f>+'7A - Project ROE Adder'!G8</f>
        <v>Name</v>
      </c>
      <c r="C242" s="90"/>
      <c r="F242" s="490"/>
      <c r="T242" s="536"/>
    </row>
    <row r="243" spans="1:21">
      <c r="A243" s="89">
        <f>+A237+1</f>
        <v>88</v>
      </c>
      <c r="B243" s="71" t="s">
        <v>683</v>
      </c>
      <c r="C243" s="90"/>
      <c r="E243" s="90">
        <v>206</v>
      </c>
      <c r="F243" s="490"/>
      <c r="G243" s="606">
        <v>0</v>
      </c>
      <c r="H243" s="607">
        <v>0</v>
      </c>
      <c r="I243" s="607">
        <v>0</v>
      </c>
      <c r="J243" s="607">
        <v>0</v>
      </c>
      <c r="K243" s="607">
        <v>0</v>
      </c>
      <c r="L243" s="607">
        <v>0</v>
      </c>
      <c r="M243" s="607">
        <v>0</v>
      </c>
      <c r="N243" s="607">
        <v>0</v>
      </c>
      <c r="O243" s="607">
        <v>0</v>
      </c>
      <c r="P243" s="607">
        <v>0</v>
      </c>
      <c r="Q243" s="607">
        <v>0</v>
      </c>
      <c r="R243" s="605">
        <v>0</v>
      </c>
      <c r="S243" s="605">
        <v>0</v>
      </c>
      <c r="T243" s="608">
        <f>+SUM(G243:S243)/13</f>
        <v>0</v>
      </c>
    </row>
    <row r="244" spans="1:21">
      <c r="A244" s="89">
        <f>+A243+1</f>
        <v>89</v>
      </c>
      <c r="B244" s="71" t="s">
        <v>31</v>
      </c>
      <c r="C244" s="90"/>
      <c r="E244" s="90">
        <v>219</v>
      </c>
      <c r="F244" s="490"/>
      <c r="G244" s="606">
        <v>0</v>
      </c>
      <c r="H244" s="607">
        <v>0</v>
      </c>
      <c r="I244" s="607">
        <v>0</v>
      </c>
      <c r="J244" s="607">
        <v>0</v>
      </c>
      <c r="K244" s="607">
        <v>0</v>
      </c>
      <c r="L244" s="607">
        <v>0</v>
      </c>
      <c r="M244" s="607">
        <v>0</v>
      </c>
      <c r="N244" s="607">
        <v>0</v>
      </c>
      <c r="O244" s="607">
        <v>0</v>
      </c>
      <c r="P244" s="607">
        <v>0</v>
      </c>
      <c r="Q244" s="607">
        <v>0</v>
      </c>
      <c r="R244" s="605">
        <v>0</v>
      </c>
      <c r="S244" s="605">
        <v>0</v>
      </c>
      <c r="T244" s="608">
        <f t="shared" ref="T244" si="11">+SUM(G244:S244)/13</f>
        <v>0</v>
      </c>
    </row>
    <row r="245" spans="1:21">
      <c r="A245" s="89">
        <f>+A244+1</f>
        <v>90</v>
      </c>
      <c r="B245" s="71" t="s">
        <v>41</v>
      </c>
      <c r="C245" s="90"/>
      <c r="E245" s="90">
        <v>274</v>
      </c>
      <c r="F245" s="490"/>
      <c r="G245" s="606">
        <v>0</v>
      </c>
      <c r="H245" s="91"/>
      <c r="I245" s="91"/>
      <c r="J245" s="91"/>
      <c r="K245" s="91"/>
      <c r="L245" s="91"/>
      <c r="M245" s="91"/>
      <c r="N245" s="91"/>
      <c r="O245" s="91"/>
      <c r="P245" s="91"/>
      <c r="Q245" s="91"/>
      <c r="R245" s="41"/>
      <c r="S245" s="605">
        <v>0</v>
      </c>
      <c r="T245" s="608">
        <f>+(G245+S245)/2</f>
        <v>0</v>
      </c>
    </row>
    <row r="246" spans="1:21">
      <c r="A246" s="89"/>
      <c r="C246" s="90"/>
      <c r="E246" s="90"/>
      <c r="F246" s="490"/>
      <c r="G246" s="92"/>
      <c r="H246" s="91"/>
      <c r="I246" s="91"/>
      <c r="J246" s="91"/>
      <c r="K246" s="91"/>
      <c r="L246" s="91"/>
      <c r="M246" s="91"/>
      <c r="N246" s="91"/>
      <c r="O246" s="91"/>
      <c r="P246" s="91"/>
      <c r="Q246" s="91"/>
      <c r="R246" s="41"/>
      <c r="S246" s="41"/>
      <c r="T246" s="608"/>
    </row>
    <row r="247" spans="1:21">
      <c r="A247" s="89"/>
      <c r="B247" s="71" t="str">
        <f>+'7A - Project ROE Adder'!I8</f>
        <v>Name</v>
      </c>
      <c r="C247" s="90"/>
      <c r="E247" s="90"/>
      <c r="F247" s="490"/>
      <c r="G247" s="91"/>
      <c r="H247" s="91"/>
      <c r="I247" s="91"/>
      <c r="J247" s="91"/>
      <c r="K247" s="91"/>
      <c r="L247" s="91"/>
      <c r="M247" s="91"/>
      <c r="N247" s="91"/>
      <c r="O247" s="91"/>
      <c r="P247" s="91"/>
      <c r="Q247" s="91"/>
      <c r="R247" s="91"/>
      <c r="S247" s="91"/>
      <c r="T247" s="609"/>
    </row>
    <row r="248" spans="1:21">
      <c r="A248" s="89">
        <f>+A245+1</f>
        <v>91</v>
      </c>
      <c r="B248" s="71" t="s">
        <v>683</v>
      </c>
      <c r="C248" s="90"/>
      <c r="E248" s="90">
        <v>206</v>
      </c>
      <c r="F248" s="490"/>
      <c r="G248" s="606">
        <v>0</v>
      </c>
      <c r="H248" s="607">
        <v>0</v>
      </c>
      <c r="I248" s="607">
        <v>0</v>
      </c>
      <c r="J248" s="607">
        <v>0</v>
      </c>
      <c r="K248" s="607">
        <v>0</v>
      </c>
      <c r="L248" s="607">
        <v>0</v>
      </c>
      <c r="M248" s="607">
        <v>0</v>
      </c>
      <c r="N248" s="607">
        <v>0</v>
      </c>
      <c r="O248" s="607">
        <v>0</v>
      </c>
      <c r="P248" s="607">
        <v>0</v>
      </c>
      <c r="Q248" s="607">
        <v>0</v>
      </c>
      <c r="R248" s="605">
        <v>0</v>
      </c>
      <c r="S248" s="605">
        <v>0</v>
      </c>
      <c r="T248" s="608">
        <f>+SUM(G248:S248)/13</f>
        <v>0</v>
      </c>
    </row>
    <row r="249" spans="1:21">
      <c r="A249" s="89">
        <f>+A248+1</f>
        <v>92</v>
      </c>
      <c r="B249" s="71" t="s">
        <v>31</v>
      </c>
      <c r="C249" s="90"/>
      <c r="E249" s="90">
        <v>219</v>
      </c>
      <c r="F249" s="490"/>
      <c r="G249" s="606">
        <v>0</v>
      </c>
      <c r="H249" s="607">
        <v>0</v>
      </c>
      <c r="I249" s="607">
        <v>0</v>
      </c>
      <c r="J249" s="607">
        <v>0</v>
      </c>
      <c r="K249" s="607">
        <v>0</v>
      </c>
      <c r="L249" s="607">
        <v>0</v>
      </c>
      <c r="M249" s="607">
        <v>0</v>
      </c>
      <c r="N249" s="607">
        <v>0</v>
      </c>
      <c r="O249" s="607">
        <v>0</v>
      </c>
      <c r="P249" s="607">
        <v>0</v>
      </c>
      <c r="Q249" s="607">
        <v>0</v>
      </c>
      <c r="R249" s="605">
        <v>0</v>
      </c>
      <c r="S249" s="605">
        <v>0</v>
      </c>
      <c r="T249" s="608">
        <f t="shared" ref="T249" si="12">+SUM(G249:S249)/13</f>
        <v>0</v>
      </c>
    </row>
    <row r="250" spans="1:21">
      <c r="A250" s="89">
        <f>+A249+1</f>
        <v>93</v>
      </c>
      <c r="B250" s="71" t="s">
        <v>41</v>
      </c>
      <c r="C250" s="90"/>
      <c r="E250" s="90">
        <v>274</v>
      </c>
      <c r="F250" s="490"/>
      <c r="G250" s="606">
        <v>0</v>
      </c>
      <c r="H250" s="91"/>
      <c r="I250" s="91"/>
      <c r="J250" s="91"/>
      <c r="K250" s="91"/>
      <c r="L250" s="91"/>
      <c r="M250" s="91"/>
      <c r="N250" s="91"/>
      <c r="O250" s="91"/>
      <c r="P250" s="91"/>
      <c r="Q250" s="91"/>
      <c r="R250" s="41"/>
      <c r="S250" s="605">
        <v>0</v>
      </c>
      <c r="T250" s="608">
        <f>+(G250+S250)/2</f>
        <v>0</v>
      </c>
    </row>
    <row r="251" spans="1:21">
      <c r="E251" s="90"/>
      <c r="G251" s="91"/>
      <c r="H251" s="91"/>
      <c r="I251" s="91"/>
      <c r="J251" s="91"/>
      <c r="K251" s="91"/>
      <c r="L251" s="91"/>
      <c r="M251" s="91"/>
      <c r="N251" s="91"/>
      <c r="O251" s="91"/>
      <c r="P251" s="91"/>
      <c r="Q251" s="91"/>
      <c r="R251" s="91"/>
      <c r="S251" s="91"/>
      <c r="T251" s="609"/>
    </row>
    <row r="252" spans="1:21">
      <c r="A252" s="89"/>
      <c r="B252" s="71" t="str">
        <f>+'7A - Project ROE Adder'!K8</f>
        <v>Name</v>
      </c>
      <c r="C252" s="90"/>
      <c r="E252" s="90"/>
      <c r="F252" s="490"/>
      <c r="G252" s="91"/>
      <c r="H252" s="91"/>
      <c r="I252" s="91"/>
      <c r="J252" s="91"/>
      <c r="K252" s="91"/>
      <c r="L252" s="91"/>
      <c r="M252" s="91"/>
      <c r="N252" s="91"/>
      <c r="O252" s="91"/>
      <c r="P252" s="91"/>
      <c r="Q252" s="91"/>
      <c r="R252" s="91"/>
      <c r="S252" s="91"/>
      <c r="T252" s="609"/>
    </row>
    <row r="253" spans="1:21">
      <c r="A253" s="89">
        <f>+A250+1</f>
        <v>94</v>
      </c>
      <c r="B253" s="71" t="s">
        <v>683</v>
      </c>
      <c r="C253" s="90"/>
      <c r="E253" s="90">
        <v>206</v>
      </c>
      <c r="F253" s="490"/>
      <c r="G253" s="606">
        <v>0</v>
      </c>
      <c r="H253" s="607">
        <v>0</v>
      </c>
      <c r="I253" s="607">
        <v>0</v>
      </c>
      <c r="J253" s="607">
        <v>0</v>
      </c>
      <c r="K253" s="607">
        <v>0</v>
      </c>
      <c r="L253" s="607">
        <v>0</v>
      </c>
      <c r="M253" s="607">
        <v>0</v>
      </c>
      <c r="N253" s="607">
        <v>0</v>
      </c>
      <c r="O253" s="607">
        <v>0</v>
      </c>
      <c r="P253" s="607">
        <v>0</v>
      </c>
      <c r="Q253" s="607">
        <v>0</v>
      </c>
      <c r="R253" s="605">
        <v>0</v>
      </c>
      <c r="S253" s="605">
        <v>0</v>
      </c>
      <c r="T253" s="608">
        <f>+SUM(G253:S253)/13</f>
        <v>0</v>
      </c>
    </row>
    <row r="254" spans="1:21">
      <c r="A254" s="89">
        <f>+A253+1</f>
        <v>95</v>
      </c>
      <c r="B254" s="71" t="s">
        <v>31</v>
      </c>
      <c r="C254" s="90"/>
      <c r="E254" s="90">
        <v>219</v>
      </c>
      <c r="F254" s="490"/>
      <c r="G254" s="606">
        <v>0</v>
      </c>
      <c r="H254" s="607">
        <v>0</v>
      </c>
      <c r="I254" s="607">
        <v>0</v>
      </c>
      <c r="J254" s="607">
        <v>0</v>
      </c>
      <c r="K254" s="607">
        <v>0</v>
      </c>
      <c r="L254" s="607">
        <v>0</v>
      </c>
      <c r="M254" s="607">
        <v>0</v>
      </c>
      <c r="N254" s="607">
        <v>0</v>
      </c>
      <c r="O254" s="607">
        <v>0</v>
      </c>
      <c r="P254" s="607">
        <v>0</v>
      </c>
      <c r="Q254" s="607">
        <v>0</v>
      </c>
      <c r="R254" s="605">
        <v>0</v>
      </c>
      <c r="S254" s="605">
        <v>0</v>
      </c>
      <c r="T254" s="608">
        <f t="shared" ref="T254" si="13">+SUM(G254:S254)/13</f>
        <v>0</v>
      </c>
    </row>
    <row r="255" spans="1:21">
      <c r="A255" s="89">
        <f>+A254+1</f>
        <v>96</v>
      </c>
      <c r="B255" s="71" t="s">
        <v>41</v>
      </c>
      <c r="C255" s="90"/>
      <c r="E255" s="90">
        <v>274</v>
      </c>
      <c r="F255" s="490"/>
      <c r="G255" s="606">
        <v>0</v>
      </c>
      <c r="H255" s="91"/>
      <c r="I255" s="91"/>
      <c r="J255" s="91"/>
      <c r="K255" s="91"/>
      <c r="L255" s="91"/>
      <c r="M255" s="91"/>
      <c r="N255" s="91"/>
      <c r="O255" s="91"/>
      <c r="P255" s="91"/>
      <c r="Q255" s="91"/>
      <c r="R255" s="41"/>
      <c r="S255" s="605">
        <v>0</v>
      </c>
      <c r="T255" s="608">
        <f>+(G255+S255)/2</f>
        <v>0</v>
      </c>
    </row>
    <row r="256" spans="1:21">
      <c r="E256" s="90"/>
      <c r="G256" s="91"/>
      <c r="H256" s="91"/>
      <c r="I256" s="91"/>
      <c r="J256" s="91"/>
      <c r="K256" s="91"/>
      <c r="L256" s="91"/>
      <c r="M256" s="91"/>
      <c r="N256" s="91"/>
      <c r="O256" s="91"/>
      <c r="P256" s="91"/>
      <c r="Q256" s="91"/>
      <c r="R256" s="91"/>
      <c r="S256" s="91"/>
      <c r="T256" s="609"/>
    </row>
    <row r="257" spans="1:20">
      <c r="A257" s="89"/>
      <c r="B257" s="71" t="str">
        <f>+'7A - Project ROE Adder'!M8</f>
        <v>Name</v>
      </c>
      <c r="C257" s="90"/>
      <c r="E257" s="90"/>
      <c r="F257" s="490"/>
      <c r="G257" s="91"/>
      <c r="H257" s="91"/>
      <c r="I257" s="91"/>
      <c r="J257" s="91"/>
      <c r="K257" s="91"/>
      <c r="L257" s="91"/>
      <c r="M257" s="91"/>
      <c r="N257" s="91"/>
      <c r="O257" s="91"/>
      <c r="P257" s="91"/>
      <c r="Q257" s="91"/>
      <c r="R257" s="91"/>
      <c r="S257" s="91"/>
      <c r="T257" s="609"/>
    </row>
    <row r="258" spans="1:20">
      <c r="A258" s="89">
        <f>+A255+1</f>
        <v>97</v>
      </c>
      <c r="B258" s="71" t="s">
        <v>683</v>
      </c>
      <c r="C258" s="90"/>
      <c r="E258" s="90">
        <v>206</v>
      </c>
      <c r="F258" s="490"/>
      <c r="G258" s="606">
        <v>0</v>
      </c>
      <c r="H258" s="607">
        <v>0</v>
      </c>
      <c r="I258" s="607">
        <v>0</v>
      </c>
      <c r="J258" s="607">
        <v>0</v>
      </c>
      <c r="K258" s="607">
        <v>0</v>
      </c>
      <c r="L258" s="607">
        <v>0</v>
      </c>
      <c r="M258" s="607">
        <v>0</v>
      </c>
      <c r="N258" s="607">
        <v>0</v>
      </c>
      <c r="O258" s="607">
        <v>0</v>
      </c>
      <c r="P258" s="607">
        <v>0</v>
      </c>
      <c r="Q258" s="607">
        <v>0</v>
      </c>
      <c r="R258" s="605">
        <v>0</v>
      </c>
      <c r="S258" s="605">
        <v>0</v>
      </c>
      <c r="T258" s="608">
        <f>+SUM(G258:S258)/13</f>
        <v>0</v>
      </c>
    </row>
    <row r="259" spans="1:20">
      <c r="A259" s="89">
        <f>+A258+1</f>
        <v>98</v>
      </c>
      <c r="B259" s="71" t="s">
        <v>31</v>
      </c>
      <c r="C259" s="90"/>
      <c r="E259" s="90">
        <v>219</v>
      </c>
      <c r="F259" s="490"/>
      <c r="G259" s="606">
        <v>0</v>
      </c>
      <c r="H259" s="607">
        <v>0</v>
      </c>
      <c r="I259" s="607">
        <v>0</v>
      </c>
      <c r="J259" s="607">
        <v>0</v>
      </c>
      <c r="K259" s="607">
        <v>0</v>
      </c>
      <c r="L259" s="607">
        <v>0</v>
      </c>
      <c r="M259" s="607">
        <v>0</v>
      </c>
      <c r="N259" s="607">
        <v>0</v>
      </c>
      <c r="O259" s="607">
        <v>0</v>
      </c>
      <c r="P259" s="607">
        <v>0</v>
      </c>
      <c r="Q259" s="607">
        <v>0</v>
      </c>
      <c r="R259" s="605">
        <v>0</v>
      </c>
      <c r="S259" s="605">
        <v>0</v>
      </c>
      <c r="T259" s="608">
        <f t="shared" ref="T259" si="14">+SUM(G259:S259)/13</f>
        <v>0</v>
      </c>
    </row>
    <row r="260" spans="1:20">
      <c r="A260" s="89">
        <f>+A259+1</f>
        <v>99</v>
      </c>
      <c r="B260" s="71" t="s">
        <v>41</v>
      </c>
      <c r="C260" s="90"/>
      <c r="E260" s="90">
        <v>274</v>
      </c>
      <c r="F260" s="490"/>
      <c r="G260" s="606">
        <v>0</v>
      </c>
      <c r="H260" s="91"/>
      <c r="I260" s="91"/>
      <c r="J260" s="91"/>
      <c r="K260" s="91"/>
      <c r="L260" s="91"/>
      <c r="M260" s="91"/>
      <c r="N260" s="91"/>
      <c r="O260" s="91"/>
      <c r="P260" s="91"/>
      <c r="Q260" s="91"/>
      <c r="R260" s="41"/>
      <c r="S260" s="605">
        <v>0</v>
      </c>
      <c r="T260" s="608">
        <f>+(G260+S260)/2</f>
        <v>0</v>
      </c>
    </row>
    <row r="261" spans="1:20">
      <c r="E261" s="90"/>
      <c r="G261" s="91"/>
      <c r="H261" s="91"/>
      <c r="I261" s="91"/>
      <c r="J261" s="91"/>
      <c r="K261" s="91"/>
      <c r="L261" s="91"/>
      <c r="M261" s="91"/>
      <c r="N261" s="91"/>
      <c r="O261" s="91"/>
      <c r="P261" s="91"/>
      <c r="Q261" s="91"/>
      <c r="R261" s="91"/>
      <c r="S261" s="91"/>
      <c r="T261" s="609"/>
    </row>
    <row r="262" spans="1:20">
      <c r="A262" s="89"/>
      <c r="B262" s="71" t="str">
        <f>+'7A - Project ROE Adder'!O8</f>
        <v>Name</v>
      </c>
      <c r="C262" s="90"/>
      <c r="E262" s="90"/>
      <c r="F262" s="490"/>
      <c r="G262" s="91"/>
      <c r="H262" s="91"/>
      <c r="I262" s="91"/>
      <c r="J262" s="91"/>
      <c r="K262" s="91"/>
      <c r="L262" s="91"/>
      <c r="M262" s="91"/>
      <c r="N262" s="91"/>
      <c r="O262" s="91"/>
      <c r="P262" s="91"/>
      <c r="Q262" s="91"/>
      <c r="R262" s="91"/>
      <c r="S262" s="91"/>
      <c r="T262" s="609"/>
    </row>
    <row r="263" spans="1:20">
      <c r="A263" s="89">
        <f>+A260+1</f>
        <v>100</v>
      </c>
      <c r="B263" s="71" t="s">
        <v>683</v>
      </c>
      <c r="C263" s="90"/>
      <c r="E263" s="90">
        <v>206</v>
      </c>
      <c r="F263" s="490"/>
      <c r="G263" s="606">
        <v>0</v>
      </c>
      <c r="H263" s="607">
        <v>0</v>
      </c>
      <c r="I263" s="607">
        <v>0</v>
      </c>
      <c r="J263" s="607">
        <v>0</v>
      </c>
      <c r="K263" s="607">
        <v>0</v>
      </c>
      <c r="L263" s="607">
        <v>0</v>
      </c>
      <c r="M263" s="607">
        <v>0</v>
      </c>
      <c r="N263" s="607">
        <v>0</v>
      </c>
      <c r="O263" s="607">
        <v>0</v>
      </c>
      <c r="P263" s="607">
        <v>0</v>
      </c>
      <c r="Q263" s="607">
        <v>0</v>
      </c>
      <c r="R263" s="605">
        <v>0</v>
      </c>
      <c r="S263" s="605">
        <v>0</v>
      </c>
      <c r="T263" s="608">
        <f>+SUM(G263:S263)/13</f>
        <v>0</v>
      </c>
    </row>
    <row r="264" spans="1:20">
      <c r="A264" s="89">
        <f>+A263+1</f>
        <v>101</v>
      </c>
      <c r="B264" s="71" t="s">
        <v>31</v>
      </c>
      <c r="C264" s="90"/>
      <c r="E264" s="90">
        <v>219</v>
      </c>
      <c r="F264" s="490"/>
      <c r="G264" s="606">
        <v>0</v>
      </c>
      <c r="H264" s="607">
        <v>0</v>
      </c>
      <c r="I264" s="607">
        <v>0</v>
      </c>
      <c r="J264" s="607">
        <v>0</v>
      </c>
      <c r="K264" s="607">
        <v>0</v>
      </c>
      <c r="L264" s="607">
        <v>0</v>
      </c>
      <c r="M264" s="607">
        <v>0</v>
      </c>
      <c r="N264" s="607">
        <v>0</v>
      </c>
      <c r="O264" s="607">
        <v>0</v>
      </c>
      <c r="P264" s="607">
        <v>0</v>
      </c>
      <c r="Q264" s="607">
        <v>0</v>
      </c>
      <c r="R264" s="605">
        <v>0</v>
      </c>
      <c r="S264" s="605">
        <v>0</v>
      </c>
      <c r="T264" s="608">
        <f t="shared" ref="T264" si="15">+SUM(G264:S264)/13</f>
        <v>0</v>
      </c>
    </row>
    <row r="265" spans="1:20">
      <c r="A265" s="89">
        <f>+A264+1</f>
        <v>102</v>
      </c>
      <c r="B265" s="71" t="s">
        <v>41</v>
      </c>
      <c r="C265" s="90"/>
      <c r="E265" s="90">
        <v>274</v>
      </c>
      <c r="F265" s="490"/>
      <c r="G265" s="606">
        <v>0</v>
      </c>
      <c r="H265" s="91"/>
      <c r="I265" s="91"/>
      <c r="J265" s="91"/>
      <c r="K265" s="91"/>
      <c r="L265" s="91"/>
      <c r="M265" s="91"/>
      <c r="N265" s="91"/>
      <c r="O265" s="91"/>
      <c r="P265" s="91"/>
      <c r="Q265" s="91"/>
      <c r="R265" s="41"/>
      <c r="S265" s="605">
        <v>0</v>
      </c>
      <c r="T265" s="608">
        <f>+(G265+S265)/2</f>
        <v>0</v>
      </c>
    </row>
    <row r="266" spans="1:20">
      <c r="E266" s="90"/>
      <c r="G266" s="91"/>
      <c r="H266" s="91"/>
      <c r="I266" s="91"/>
      <c r="J266" s="91"/>
      <c r="K266" s="91"/>
      <c r="L266" s="91"/>
      <c r="M266" s="91"/>
      <c r="N266" s="91"/>
      <c r="O266" s="91"/>
      <c r="P266" s="91"/>
      <c r="Q266" s="91"/>
      <c r="R266" s="91"/>
      <c r="S266" s="91"/>
      <c r="T266" s="609"/>
    </row>
    <row r="267" spans="1:20">
      <c r="A267" s="89"/>
      <c r="B267" s="71" t="str">
        <f>+'7A - Project ROE Adder'!Q8</f>
        <v>Name</v>
      </c>
      <c r="C267" s="90"/>
      <c r="E267" s="90"/>
      <c r="F267" s="490"/>
      <c r="G267" s="91"/>
      <c r="H267" s="91"/>
      <c r="I267" s="91"/>
      <c r="J267" s="91"/>
      <c r="K267" s="91"/>
      <c r="L267" s="91"/>
      <c r="M267" s="91"/>
      <c r="N267" s="91"/>
      <c r="O267" s="91"/>
      <c r="P267" s="91"/>
      <c r="Q267" s="91"/>
      <c r="R267" s="91"/>
      <c r="S267" s="91"/>
      <c r="T267" s="609"/>
    </row>
    <row r="268" spans="1:20">
      <c r="A268" s="89">
        <f>+A265+1</f>
        <v>103</v>
      </c>
      <c r="B268" s="71" t="s">
        <v>683</v>
      </c>
      <c r="C268" s="90"/>
      <c r="E268" s="90">
        <v>206</v>
      </c>
      <c r="F268" s="490"/>
      <c r="G268" s="606">
        <v>0</v>
      </c>
      <c r="H268" s="607">
        <v>0</v>
      </c>
      <c r="I268" s="607">
        <v>0</v>
      </c>
      <c r="J268" s="607">
        <v>0</v>
      </c>
      <c r="K268" s="607">
        <v>0</v>
      </c>
      <c r="L268" s="607">
        <v>0</v>
      </c>
      <c r="M268" s="607">
        <v>0</v>
      </c>
      <c r="N268" s="607">
        <v>0</v>
      </c>
      <c r="O268" s="607">
        <v>0</v>
      </c>
      <c r="P268" s="607">
        <v>0</v>
      </c>
      <c r="Q268" s="607">
        <v>0</v>
      </c>
      <c r="R268" s="605">
        <v>0</v>
      </c>
      <c r="S268" s="605">
        <v>0</v>
      </c>
      <c r="T268" s="608">
        <f>+SUM(G268:S268)/13</f>
        <v>0</v>
      </c>
    </row>
    <row r="269" spans="1:20">
      <c r="A269" s="89">
        <f>+A268+1</f>
        <v>104</v>
      </c>
      <c r="B269" s="71" t="s">
        <v>31</v>
      </c>
      <c r="C269" s="90"/>
      <c r="E269" s="90">
        <v>219</v>
      </c>
      <c r="F269" s="490"/>
      <c r="G269" s="606">
        <v>0</v>
      </c>
      <c r="H269" s="607">
        <v>0</v>
      </c>
      <c r="I269" s="607">
        <v>0</v>
      </c>
      <c r="J269" s="607">
        <v>0</v>
      </c>
      <c r="K269" s="607">
        <v>0</v>
      </c>
      <c r="L269" s="607">
        <v>0</v>
      </c>
      <c r="M269" s="607">
        <v>0</v>
      </c>
      <c r="N269" s="607">
        <v>0</v>
      </c>
      <c r="O269" s="607">
        <v>0</v>
      </c>
      <c r="P269" s="607">
        <v>0</v>
      </c>
      <c r="Q269" s="607">
        <v>0</v>
      </c>
      <c r="R269" s="605">
        <v>0</v>
      </c>
      <c r="S269" s="605">
        <v>0</v>
      </c>
      <c r="T269" s="608">
        <f t="shared" ref="T269" si="16">+SUM(G269:S269)/13</f>
        <v>0</v>
      </c>
    </row>
    <row r="270" spans="1:20">
      <c r="A270" s="89">
        <f>+A269+1</f>
        <v>105</v>
      </c>
      <c r="B270" s="71" t="s">
        <v>41</v>
      </c>
      <c r="C270" s="90"/>
      <c r="E270" s="90">
        <v>274</v>
      </c>
      <c r="F270" s="490"/>
      <c r="G270" s="606">
        <v>0</v>
      </c>
      <c r="H270" s="91"/>
      <c r="I270" s="91"/>
      <c r="J270" s="91"/>
      <c r="K270" s="91"/>
      <c r="L270" s="91"/>
      <c r="M270" s="91"/>
      <c r="N270" s="91"/>
      <c r="O270" s="91"/>
      <c r="P270" s="91"/>
      <c r="Q270" s="91"/>
      <c r="R270" s="41"/>
      <c r="S270" s="605">
        <v>0</v>
      </c>
      <c r="T270" s="608">
        <f>+(G270+S270)/2</f>
        <v>0</v>
      </c>
    </row>
    <row r="271" spans="1:20">
      <c r="E271" s="90"/>
      <c r="G271" s="91"/>
      <c r="H271" s="91"/>
      <c r="I271" s="91"/>
      <c r="J271" s="91"/>
      <c r="K271" s="91"/>
      <c r="L271" s="91"/>
      <c r="M271" s="91"/>
      <c r="N271" s="91"/>
      <c r="O271" s="91"/>
      <c r="P271" s="91"/>
      <c r="Q271" s="91"/>
      <c r="R271" s="91"/>
      <c r="S271" s="91"/>
      <c r="T271" s="609"/>
    </row>
    <row r="272" spans="1:20">
      <c r="A272" s="89"/>
      <c r="B272" s="71" t="str">
        <f>+'7A - Project ROE Adder'!S8</f>
        <v>Name</v>
      </c>
      <c r="C272" s="90"/>
      <c r="E272" s="90"/>
      <c r="F272" s="490"/>
      <c r="G272" s="91"/>
      <c r="H272" s="91"/>
      <c r="I272" s="91"/>
      <c r="J272" s="91"/>
      <c r="K272" s="91"/>
      <c r="L272" s="91"/>
      <c r="M272" s="91"/>
      <c r="N272" s="91"/>
      <c r="O272" s="91"/>
      <c r="P272" s="91"/>
      <c r="Q272" s="91"/>
      <c r="R272" s="91"/>
      <c r="S272" s="91"/>
      <c r="T272" s="609"/>
    </row>
    <row r="273" spans="1:20">
      <c r="A273" s="89">
        <f>+A270+1</f>
        <v>106</v>
      </c>
      <c r="B273" s="71" t="s">
        <v>683</v>
      </c>
      <c r="C273" s="90"/>
      <c r="E273" s="90">
        <v>206</v>
      </c>
      <c r="F273" s="490"/>
      <c r="G273" s="606">
        <v>0</v>
      </c>
      <c r="H273" s="607">
        <v>0</v>
      </c>
      <c r="I273" s="607">
        <v>0</v>
      </c>
      <c r="J273" s="607">
        <v>0</v>
      </c>
      <c r="K273" s="607">
        <v>0</v>
      </c>
      <c r="L273" s="607">
        <v>0</v>
      </c>
      <c r="M273" s="607">
        <v>0</v>
      </c>
      <c r="N273" s="607">
        <v>0</v>
      </c>
      <c r="O273" s="607">
        <v>0</v>
      </c>
      <c r="P273" s="607">
        <v>0</v>
      </c>
      <c r="Q273" s="607">
        <v>0</v>
      </c>
      <c r="R273" s="605">
        <v>0</v>
      </c>
      <c r="S273" s="605">
        <v>0</v>
      </c>
      <c r="T273" s="608">
        <f>+SUM(G273:S273)/13</f>
        <v>0</v>
      </c>
    </row>
    <row r="274" spans="1:20">
      <c r="A274" s="89">
        <f>+A273+1</f>
        <v>107</v>
      </c>
      <c r="B274" s="71" t="s">
        <v>31</v>
      </c>
      <c r="C274" s="90"/>
      <c r="E274" s="90">
        <v>219</v>
      </c>
      <c r="F274" s="490"/>
      <c r="G274" s="606">
        <v>0</v>
      </c>
      <c r="H274" s="607">
        <v>0</v>
      </c>
      <c r="I274" s="607">
        <v>0</v>
      </c>
      <c r="J274" s="607">
        <v>0</v>
      </c>
      <c r="K274" s="607">
        <v>0</v>
      </c>
      <c r="L274" s="607">
        <v>0</v>
      </c>
      <c r="M274" s="607">
        <v>0</v>
      </c>
      <c r="N274" s="607">
        <v>0</v>
      </c>
      <c r="O274" s="607">
        <v>0</v>
      </c>
      <c r="P274" s="607">
        <v>0</v>
      </c>
      <c r="Q274" s="607">
        <v>0</v>
      </c>
      <c r="R274" s="605">
        <v>0</v>
      </c>
      <c r="S274" s="605">
        <v>0</v>
      </c>
      <c r="T274" s="608">
        <f t="shared" ref="T274" si="17">+SUM(G274:S274)/13</f>
        <v>0</v>
      </c>
    </row>
    <row r="275" spans="1:20">
      <c r="A275" s="89">
        <f>+A274+1</f>
        <v>108</v>
      </c>
      <c r="B275" s="71" t="s">
        <v>41</v>
      </c>
      <c r="C275" s="90"/>
      <c r="E275" s="90">
        <v>274</v>
      </c>
      <c r="F275" s="490"/>
      <c r="G275" s="606">
        <v>0</v>
      </c>
      <c r="H275" s="91"/>
      <c r="I275" s="91"/>
      <c r="J275" s="91"/>
      <c r="K275" s="91"/>
      <c r="L275" s="91"/>
      <c r="M275" s="91"/>
      <c r="N275" s="91"/>
      <c r="O275" s="91"/>
      <c r="P275" s="91"/>
      <c r="Q275" s="91"/>
      <c r="R275" s="41"/>
      <c r="S275" s="605">
        <v>0</v>
      </c>
      <c r="T275" s="608">
        <f>+(G275+S275)/2</f>
        <v>0</v>
      </c>
    </row>
    <row r="276" spans="1:20">
      <c r="E276" s="90"/>
      <c r="G276" s="91"/>
      <c r="H276" s="91"/>
      <c r="I276" s="91"/>
      <c r="J276" s="91"/>
      <c r="K276" s="91"/>
      <c r="L276" s="91"/>
      <c r="M276" s="91"/>
      <c r="N276" s="91"/>
      <c r="O276" s="91"/>
      <c r="P276" s="91"/>
      <c r="Q276" s="91"/>
      <c r="R276" s="91"/>
      <c r="S276" s="91"/>
      <c r="T276" s="609"/>
    </row>
    <row r="277" spans="1:20">
      <c r="A277" s="89"/>
      <c r="B277" s="71" t="str">
        <f>+'7A - Project ROE Adder'!U8</f>
        <v>Name</v>
      </c>
      <c r="C277" s="90"/>
      <c r="E277" s="90"/>
      <c r="F277" s="490"/>
      <c r="G277" s="91"/>
      <c r="H277" s="91"/>
      <c r="I277" s="91"/>
      <c r="J277" s="91"/>
      <c r="K277" s="91"/>
      <c r="L277" s="91"/>
      <c r="M277" s="91"/>
      <c r="N277" s="91"/>
      <c r="O277" s="91"/>
      <c r="P277" s="91"/>
      <c r="Q277" s="91"/>
      <c r="R277" s="91"/>
      <c r="S277" s="91"/>
      <c r="T277" s="609"/>
    </row>
    <row r="278" spans="1:20">
      <c r="A278" s="89">
        <f>+A275+1</f>
        <v>109</v>
      </c>
      <c r="B278" s="71" t="s">
        <v>683</v>
      </c>
      <c r="C278" s="90"/>
      <c r="E278" s="90">
        <v>206</v>
      </c>
      <c r="F278" s="490"/>
      <c r="G278" s="606">
        <v>0</v>
      </c>
      <c r="H278" s="607">
        <v>0</v>
      </c>
      <c r="I278" s="607">
        <v>0</v>
      </c>
      <c r="J278" s="607">
        <v>0</v>
      </c>
      <c r="K278" s="607">
        <v>0</v>
      </c>
      <c r="L278" s="607">
        <v>0</v>
      </c>
      <c r="M278" s="607">
        <v>0</v>
      </c>
      <c r="N278" s="607">
        <v>0</v>
      </c>
      <c r="O278" s="607">
        <v>0</v>
      </c>
      <c r="P278" s="607">
        <v>0</v>
      </c>
      <c r="Q278" s="607">
        <v>0</v>
      </c>
      <c r="R278" s="605">
        <v>0</v>
      </c>
      <c r="S278" s="605">
        <v>0</v>
      </c>
      <c r="T278" s="608">
        <f>+SUM(G278:S278)/13</f>
        <v>0</v>
      </c>
    </row>
    <row r="279" spans="1:20">
      <c r="A279" s="89">
        <f>+A278+1</f>
        <v>110</v>
      </c>
      <c r="B279" s="71" t="s">
        <v>31</v>
      </c>
      <c r="C279" s="90"/>
      <c r="E279" s="90">
        <v>219</v>
      </c>
      <c r="F279" s="490"/>
      <c r="G279" s="606">
        <v>0</v>
      </c>
      <c r="H279" s="607">
        <v>0</v>
      </c>
      <c r="I279" s="607">
        <v>0</v>
      </c>
      <c r="J279" s="607">
        <v>0</v>
      </c>
      <c r="K279" s="607">
        <v>0</v>
      </c>
      <c r="L279" s="607">
        <v>0</v>
      </c>
      <c r="M279" s="607">
        <v>0</v>
      </c>
      <c r="N279" s="607">
        <v>0</v>
      </c>
      <c r="O279" s="607">
        <v>0</v>
      </c>
      <c r="P279" s="607">
        <v>0</v>
      </c>
      <c r="Q279" s="607">
        <v>0</v>
      </c>
      <c r="R279" s="605">
        <v>0</v>
      </c>
      <c r="S279" s="605">
        <v>0</v>
      </c>
      <c r="T279" s="608">
        <f t="shared" ref="T279" si="18">+SUM(G279:S279)/13</f>
        <v>0</v>
      </c>
    </row>
    <row r="280" spans="1:20">
      <c r="A280" s="89">
        <f>+A279+1</f>
        <v>111</v>
      </c>
      <c r="B280" s="71" t="s">
        <v>41</v>
      </c>
      <c r="C280" s="90"/>
      <c r="E280" s="90">
        <v>274</v>
      </c>
      <c r="F280" s="490"/>
      <c r="G280" s="606">
        <v>0</v>
      </c>
      <c r="H280" s="91"/>
      <c r="I280" s="91"/>
      <c r="J280" s="91"/>
      <c r="K280" s="91"/>
      <c r="L280" s="91"/>
      <c r="M280" s="91"/>
      <c r="N280" s="91"/>
      <c r="O280" s="91"/>
      <c r="P280" s="91"/>
      <c r="Q280" s="91"/>
      <c r="R280" s="41"/>
      <c r="S280" s="605">
        <v>0</v>
      </c>
      <c r="T280" s="608">
        <f>+(G280+S280)/2</f>
        <v>0</v>
      </c>
    </row>
    <row r="281" spans="1:20">
      <c r="E281" s="90"/>
      <c r="G281" s="91"/>
      <c r="H281" s="91"/>
      <c r="I281" s="91"/>
      <c r="J281" s="91"/>
      <c r="K281" s="91"/>
      <c r="L281" s="91"/>
      <c r="M281" s="91"/>
      <c r="N281" s="91"/>
      <c r="O281" s="91"/>
      <c r="P281" s="91"/>
      <c r="Q281" s="91"/>
      <c r="R281" s="91"/>
      <c r="S281" s="91"/>
      <c r="T281" s="609"/>
    </row>
    <row r="282" spans="1:20">
      <c r="A282" s="89"/>
      <c r="B282" s="71" t="str">
        <f>+'7A - Project ROE Adder'!W8</f>
        <v>Name</v>
      </c>
      <c r="C282" s="90"/>
      <c r="E282" s="90"/>
      <c r="F282" s="490"/>
      <c r="G282" s="91"/>
      <c r="H282" s="91"/>
      <c r="I282" s="91"/>
      <c r="J282" s="91"/>
      <c r="K282" s="91"/>
      <c r="L282" s="91"/>
      <c r="M282" s="91"/>
      <c r="N282" s="91"/>
      <c r="O282" s="91"/>
      <c r="P282" s="91"/>
      <c r="Q282" s="91"/>
      <c r="R282" s="91"/>
      <c r="S282" s="91"/>
      <c r="T282" s="609"/>
    </row>
    <row r="283" spans="1:20">
      <c r="A283" s="89">
        <f>+A280+1</f>
        <v>112</v>
      </c>
      <c r="B283" s="71" t="s">
        <v>683</v>
      </c>
      <c r="C283" s="90"/>
      <c r="E283" s="90">
        <v>206</v>
      </c>
      <c r="F283" s="490"/>
      <c r="G283" s="606">
        <v>0</v>
      </c>
      <c r="H283" s="607">
        <v>0</v>
      </c>
      <c r="I283" s="607">
        <v>0</v>
      </c>
      <c r="J283" s="607">
        <v>0</v>
      </c>
      <c r="K283" s="607">
        <v>0</v>
      </c>
      <c r="L283" s="607">
        <v>0</v>
      </c>
      <c r="M283" s="607">
        <v>0</v>
      </c>
      <c r="N283" s="607">
        <v>0</v>
      </c>
      <c r="O283" s="607">
        <v>0</v>
      </c>
      <c r="P283" s="607">
        <v>0</v>
      </c>
      <c r="Q283" s="607">
        <v>0</v>
      </c>
      <c r="R283" s="605">
        <v>0</v>
      </c>
      <c r="S283" s="605">
        <v>0</v>
      </c>
      <c r="T283" s="608">
        <f>+SUM(G283:S283)/13</f>
        <v>0</v>
      </c>
    </row>
    <row r="284" spans="1:20">
      <c r="A284" s="89">
        <f>+A283+1</f>
        <v>113</v>
      </c>
      <c r="B284" s="71" t="s">
        <v>31</v>
      </c>
      <c r="C284" s="90"/>
      <c r="E284" s="90">
        <v>219</v>
      </c>
      <c r="F284" s="490"/>
      <c r="G284" s="606">
        <v>0</v>
      </c>
      <c r="H284" s="607">
        <v>0</v>
      </c>
      <c r="I284" s="607">
        <v>0</v>
      </c>
      <c r="J284" s="607">
        <v>0</v>
      </c>
      <c r="K284" s="607">
        <v>0</v>
      </c>
      <c r="L284" s="607">
        <v>0</v>
      </c>
      <c r="M284" s="607">
        <v>0</v>
      </c>
      <c r="N284" s="607">
        <v>0</v>
      </c>
      <c r="O284" s="607">
        <v>0</v>
      </c>
      <c r="P284" s="607">
        <v>0</v>
      </c>
      <c r="Q284" s="607">
        <v>0</v>
      </c>
      <c r="R284" s="605">
        <v>0</v>
      </c>
      <c r="S284" s="605">
        <v>0</v>
      </c>
      <c r="T284" s="608">
        <f t="shared" ref="T284" si="19">+SUM(G284:S284)/13</f>
        <v>0</v>
      </c>
    </row>
    <row r="285" spans="1:20">
      <c r="A285" s="89">
        <f>+A284+1</f>
        <v>114</v>
      </c>
      <c r="B285" s="71" t="s">
        <v>41</v>
      </c>
      <c r="C285" s="90"/>
      <c r="E285" s="90">
        <v>274</v>
      </c>
      <c r="F285" s="490"/>
      <c r="G285" s="606">
        <v>0</v>
      </c>
      <c r="H285" s="91"/>
      <c r="I285" s="91"/>
      <c r="J285" s="91"/>
      <c r="K285" s="91"/>
      <c r="L285" s="91"/>
      <c r="M285" s="91"/>
      <c r="N285" s="91"/>
      <c r="O285" s="91"/>
      <c r="P285" s="91"/>
      <c r="Q285" s="91"/>
      <c r="R285" s="41"/>
      <c r="S285" s="605">
        <v>0</v>
      </c>
      <c r="T285" s="608">
        <f>+(G285+S285)/2</f>
        <v>0</v>
      </c>
    </row>
    <row r="286" spans="1:20">
      <c r="E286" s="90"/>
      <c r="G286" s="91"/>
      <c r="H286" s="91"/>
      <c r="I286" s="91"/>
      <c r="J286" s="91"/>
      <c r="K286" s="91"/>
      <c r="L286" s="91"/>
      <c r="M286" s="91"/>
      <c r="N286" s="91"/>
      <c r="O286" s="91"/>
      <c r="P286" s="91"/>
      <c r="Q286" s="91"/>
      <c r="R286" s="91"/>
      <c r="S286" s="91"/>
      <c r="T286" s="609"/>
    </row>
    <row r="287" spans="1:20">
      <c r="A287" s="89"/>
      <c r="B287" s="71" t="str">
        <f>+'7A - Project ROE Adder'!Y8</f>
        <v>Name</v>
      </c>
      <c r="C287" s="90"/>
      <c r="E287" s="90"/>
      <c r="F287" s="490"/>
      <c r="G287" s="91"/>
      <c r="H287" s="91"/>
      <c r="I287" s="91"/>
      <c r="J287" s="91"/>
      <c r="K287" s="91"/>
      <c r="L287" s="91"/>
      <c r="M287" s="91"/>
      <c r="N287" s="91"/>
      <c r="O287" s="91"/>
      <c r="P287" s="91"/>
      <c r="Q287" s="91"/>
      <c r="R287" s="91"/>
      <c r="S287" s="91"/>
      <c r="T287" s="609"/>
    </row>
    <row r="288" spans="1:20">
      <c r="A288" s="89">
        <f>+A285+1</f>
        <v>115</v>
      </c>
      <c r="B288" s="71" t="s">
        <v>683</v>
      </c>
      <c r="C288" s="90"/>
      <c r="E288" s="90">
        <v>206</v>
      </c>
      <c r="F288" s="490"/>
      <c r="G288" s="606">
        <v>0</v>
      </c>
      <c r="H288" s="607">
        <v>0</v>
      </c>
      <c r="I288" s="607">
        <v>0</v>
      </c>
      <c r="J288" s="607">
        <v>0</v>
      </c>
      <c r="K288" s="607">
        <v>0</v>
      </c>
      <c r="L288" s="607">
        <v>0</v>
      </c>
      <c r="M288" s="607">
        <v>0</v>
      </c>
      <c r="N288" s="607">
        <v>0</v>
      </c>
      <c r="O288" s="607">
        <v>0</v>
      </c>
      <c r="P288" s="607">
        <v>0</v>
      </c>
      <c r="Q288" s="607">
        <v>0</v>
      </c>
      <c r="R288" s="605">
        <v>0</v>
      </c>
      <c r="S288" s="605">
        <v>0</v>
      </c>
      <c r="T288" s="608">
        <f>+SUM(G288:S288)/13</f>
        <v>0</v>
      </c>
    </row>
    <row r="289" spans="1:21">
      <c r="A289" s="89">
        <f>+A288+1</f>
        <v>116</v>
      </c>
      <c r="B289" s="71" t="s">
        <v>31</v>
      </c>
      <c r="C289" s="90"/>
      <c r="E289" s="90">
        <v>219</v>
      </c>
      <c r="F289" s="490"/>
      <c r="G289" s="606">
        <v>0</v>
      </c>
      <c r="H289" s="607">
        <v>0</v>
      </c>
      <c r="I289" s="607">
        <v>0</v>
      </c>
      <c r="J289" s="607">
        <v>0</v>
      </c>
      <c r="K289" s="607">
        <v>0</v>
      </c>
      <c r="L289" s="607">
        <v>0</v>
      </c>
      <c r="M289" s="607">
        <v>0</v>
      </c>
      <c r="N289" s="607">
        <v>0</v>
      </c>
      <c r="O289" s="607">
        <v>0</v>
      </c>
      <c r="P289" s="607">
        <v>0</v>
      </c>
      <c r="Q289" s="607">
        <v>0</v>
      </c>
      <c r="R289" s="605">
        <v>0</v>
      </c>
      <c r="S289" s="605">
        <v>0</v>
      </c>
      <c r="T289" s="608">
        <f t="shared" ref="T289" si="20">+SUM(G289:S289)/13</f>
        <v>0</v>
      </c>
    </row>
    <row r="290" spans="1:21">
      <c r="A290" s="89">
        <f>+A289+1</f>
        <v>117</v>
      </c>
      <c r="B290" s="71" t="s">
        <v>41</v>
      </c>
      <c r="C290" s="90"/>
      <c r="E290" s="90">
        <v>274</v>
      </c>
      <c r="F290" s="490"/>
      <c r="G290" s="606">
        <v>0</v>
      </c>
      <c r="H290" s="91"/>
      <c r="I290" s="91"/>
      <c r="J290" s="91"/>
      <c r="K290" s="91"/>
      <c r="L290" s="91"/>
      <c r="M290" s="91"/>
      <c r="N290" s="91"/>
      <c r="O290" s="91"/>
      <c r="P290" s="91"/>
      <c r="Q290" s="91"/>
      <c r="R290" s="41"/>
      <c r="S290" s="605">
        <v>0</v>
      </c>
      <c r="T290" s="608">
        <f>+(G290+S290)/2</f>
        <v>0</v>
      </c>
    </row>
    <row r="291" spans="1:21" ht="15.75" thickBot="1">
      <c r="A291" s="97"/>
      <c r="B291" s="97"/>
      <c r="C291" s="97"/>
      <c r="D291" s="97"/>
      <c r="E291" s="97"/>
      <c r="F291" s="97"/>
      <c r="G291" s="97"/>
      <c r="H291" s="97"/>
      <c r="I291" s="97"/>
      <c r="J291" s="97"/>
      <c r="K291" s="97"/>
      <c r="L291" s="97"/>
      <c r="M291" s="97"/>
      <c r="N291" s="97"/>
      <c r="O291" s="97"/>
      <c r="P291" s="97"/>
      <c r="Q291" s="97"/>
      <c r="R291" s="97"/>
      <c r="S291" s="97"/>
      <c r="T291" s="773"/>
    </row>
    <row r="292" spans="1:21" ht="18.75" thickBot="1">
      <c r="U292" s="627"/>
    </row>
    <row r="293" spans="1:21" ht="16.5" thickBot="1">
      <c r="A293" s="73" t="s">
        <v>684</v>
      </c>
      <c r="G293" s="189" t="s">
        <v>490</v>
      </c>
      <c r="H293" s="923" t="s">
        <v>682</v>
      </c>
      <c r="I293" s="924"/>
      <c r="J293" s="924"/>
      <c r="K293" s="924"/>
      <c r="L293" s="924"/>
      <c r="M293" s="924"/>
      <c r="N293" s="924"/>
      <c r="O293" s="924"/>
      <c r="P293" s="924"/>
      <c r="Q293" s="924"/>
      <c r="R293" s="924"/>
      <c r="S293" s="925"/>
    </row>
    <row r="294" spans="1:21" ht="32.25" thickBot="1">
      <c r="A294" s="80" t="s">
        <v>491</v>
      </c>
      <c r="B294" s="81" t="s">
        <v>492</v>
      </c>
      <c r="C294" s="81"/>
      <c r="D294" s="81"/>
      <c r="E294" s="83" t="s">
        <v>493</v>
      </c>
      <c r="F294" s="765" t="s">
        <v>494</v>
      </c>
      <c r="G294" s="498" t="s">
        <v>495</v>
      </c>
      <c r="H294" s="82" t="s">
        <v>496</v>
      </c>
      <c r="I294" s="82" t="s">
        <v>497</v>
      </c>
      <c r="J294" s="82" t="s">
        <v>498</v>
      </c>
      <c r="K294" s="82" t="s">
        <v>499</v>
      </c>
      <c r="L294" s="82" t="s">
        <v>374</v>
      </c>
      <c r="M294" s="82" t="s">
        <v>500</v>
      </c>
      <c r="N294" s="82" t="s">
        <v>501</v>
      </c>
      <c r="O294" s="82" t="s">
        <v>502</v>
      </c>
      <c r="P294" s="82" t="s">
        <v>503</v>
      </c>
      <c r="Q294" s="82" t="s">
        <v>504</v>
      </c>
      <c r="R294" s="82" t="s">
        <v>505</v>
      </c>
      <c r="S294" s="82" t="s">
        <v>506</v>
      </c>
      <c r="T294" s="766" t="s">
        <v>685</v>
      </c>
    </row>
    <row r="295" spans="1:21">
      <c r="A295" s="89"/>
      <c r="B295" s="381" t="s">
        <v>686</v>
      </c>
      <c r="C295" s="382"/>
      <c r="F295" s="490"/>
      <c r="T295" s="536"/>
    </row>
    <row r="296" spans="1:21">
      <c r="A296" s="89">
        <f>+A290+1</f>
        <v>118</v>
      </c>
      <c r="B296" s="71" t="s">
        <v>687</v>
      </c>
      <c r="C296" s="90"/>
      <c r="E296" s="90" t="s">
        <v>688</v>
      </c>
      <c r="F296" s="490"/>
      <c r="G296" s="92">
        <v>20201422.66</v>
      </c>
      <c r="H296" s="92">
        <v>20201422.66</v>
      </c>
      <c r="I296" s="92">
        <v>20201422.66</v>
      </c>
      <c r="J296" s="92">
        <v>20201422.66</v>
      </c>
      <c r="K296" s="92">
        <v>20201422.66</v>
      </c>
      <c r="L296" s="92">
        <v>20201422.66</v>
      </c>
      <c r="M296" s="92">
        <v>20201422.66</v>
      </c>
      <c r="N296" s="92">
        <v>20201422.66</v>
      </c>
      <c r="O296" s="92">
        <v>20201422.66</v>
      </c>
      <c r="P296" s="92">
        <v>20201422.66</v>
      </c>
      <c r="Q296" s="92">
        <v>20201422.66</v>
      </c>
      <c r="R296" s="92">
        <v>20201422.66</v>
      </c>
      <c r="S296" s="92">
        <v>20201422.66</v>
      </c>
      <c r="T296" s="608">
        <f>+SUM(G296:S296)/13</f>
        <v>20201422.66</v>
      </c>
    </row>
    <row r="297" spans="1:21">
      <c r="A297" s="89">
        <f>+A296+1</f>
        <v>119</v>
      </c>
      <c r="B297" s="71" t="s">
        <v>31</v>
      </c>
      <c r="C297" s="90"/>
      <c r="E297" s="90">
        <v>219</v>
      </c>
      <c r="F297" s="490"/>
      <c r="G297" s="92">
        <v>600385.19000000006</v>
      </c>
      <c r="H297" s="92">
        <v>637788.10000000009</v>
      </c>
      <c r="I297" s="92">
        <v>675191.01000000013</v>
      </c>
      <c r="J297" s="92">
        <v>712593.92000000016</v>
      </c>
      <c r="K297" s="92">
        <v>749996.83000000019</v>
      </c>
      <c r="L297" s="92">
        <v>787399.74000000022</v>
      </c>
      <c r="M297" s="92">
        <v>824802.65000000026</v>
      </c>
      <c r="N297" s="92">
        <v>862205.56000000029</v>
      </c>
      <c r="O297" s="92">
        <v>899608.47000000032</v>
      </c>
      <c r="P297" s="92">
        <v>937011.38000000035</v>
      </c>
      <c r="Q297" s="92">
        <v>974414.29000000039</v>
      </c>
      <c r="R297" s="92">
        <v>1011817.2000000004</v>
      </c>
      <c r="S297" s="92">
        <v>1049220.1100000003</v>
      </c>
      <c r="T297" s="608">
        <f t="shared" ref="T297" si="21">+SUM(G297:S297)/13</f>
        <v>824802.65000000049</v>
      </c>
    </row>
    <row r="298" spans="1:21">
      <c r="A298" s="89">
        <f>+A297+1</f>
        <v>120</v>
      </c>
      <c r="B298" s="71" t="s">
        <v>689</v>
      </c>
      <c r="C298" s="90"/>
      <c r="E298" s="90">
        <v>336</v>
      </c>
      <c r="F298" s="490"/>
      <c r="G298" s="92"/>
      <c r="H298" s="92">
        <v>37402.910000000033</v>
      </c>
      <c r="I298" s="92">
        <v>37402.910000000033</v>
      </c>
      <c r="J298" s="92">
        <v>37402.910000000033</v>
      </c>
      <c r="K298" s="92">
        <v>37402.910000000033</v>
      </c>
      <c r="L298" s="92">
        <v>37402.910000000033</v>
      </c>
      <c r="M298" s="92">
        <v>37402.910000000033</v>
      </c>
      <c r="N298" s="92">
        <v>37402.910000000033</v>
      </c>
      <c r="O298" s="92">
        <v>37402.910000000033</v>
      </c>
      <c r="P298" s="92">
        <v>37402.910000000033</v>
      </c>
      <c r="Q298" s="92">
        <v>37402.910000000033</v>
      </c>
      <c r="R298" s="92">
        <v>37402.910000000033</v>
      </c>
      <c r="S298" s="92">
        <v>37402.909999999916</v>
      </c>
      <c r="T298" s="608">
        <f>SUM(H298:S298)</f>
        <v>448834.92000000027</v>
      </c>
    </row>
    <row r="299" spans="1:21">
      <c r="A299" s="89"/>
      <c r="C299" s="90"/>
      <c r="E299" s="90"/>
      <c r="F299" s="490"/>
      <c r="G299" s="92"/>
      <c r="H299" s="91"/>
      <c r="I299" s="91"/>
      <c r="J299" s="91"/>
      <c r="K299" s="91"/>
      <c r="L299" s="91"/>
      <c r="M299" s="91"/>
      <c r="N299" s="91"/>
      <c r="O299" s="91"/>
      <c r="P299" s="91"/>
      <c r="Q299" s="91"/>
      <c r="R299" s="41"/>
      <c r="S299" s="41"/>
      <c r="T299" s="608"/>
    </row>
    <row r="300" spans="1:21">
      <c r="A300" s="89"/>
      <c r="B300" s="381" t="str">
        <f>+'7B - Schedule 12 Projects'!I8</f>
        <v>Name</v>
      </c>
      <c r="C300" s="90"/>
      <c r="E300" s="90"/>
      <c r="F300" s="490"/>
      <c r="G300" s="91"/>
      <c r="H300" s="91"/>
      <c r="I300" s="91"/>
      <c r="J300" s="91"/>
      <c r="K300" s="91"/>
      <c r="L300" s="91"/>
      <c r="M300" s="91"/>
      <c r="N300" s="91"/>
      <c r="O300" s="91"/>
      <c r="P300" s="91"/>
      <c r="Q300" s="91"/>
      <c r="R300" s="91"/>
      <c r="S300" s="91"/>
      <c r="T300" s="609"/>
    </row>
    <row r="301" spans="1:21">
      <c r="A301" s="89">
        <f>+A298+1</f>
        <v>121</v>
      </c>
      <c r="B301" s="71" t="s">
        <v>687</v>
      </c>
      <c r="C301" s="90"/>
      <c r="E301" s="90" t="s">
        <v>688</v>
      </c>
      <c r="F301" s="490"/>
      <c r="G301" s="606">
        <v>0</v>
      </c>
      <c r="H301" s="607">
        <v>0</v>
      </c>
      <c r="I301" s="607">
        <v>0</v>
      </c>
      <c r="J301" s="607">
        <v>0</v>
      </c>
      <c r="K301" s="607">
        <v>0</v>
      </c>
      <c r="L301" s="607">
        <v>0</v>
      </c>
      <c r="M301" s="607">
        <v>0</v>
      </c>
      <c r="N301" s="607">
        <v>0</v>
      </c>
      <c r="O301" s="607">
        <v>0</v>
      </c>
      <c r="P301" s="607">
        <v>0</v>
      </c>
      <c r="Q301" s="607">
        <v>0</v>
      </c>
      <c r="R301" s="605">
        <v>0</v>
      </c>
      <c r="S301" s="605">
        <v>0</v>
      </c>
      <c r="T301" s="608">
        <f>+SUM(G301:S301)/13</f>
        <v>0</v>
      </c>
    </row>
    <row r="302" spans="1:21">
      <c r="A302" s="89">
        <f>+A301+1</f>
        <v>122</v>
      </c>
      <c r="B302" s="71" t="s">
        <v>31</v>
      </c>
      <c r="C302" s="90"/>
      <c r="E302" s="90">
        <v>219</v>
      </c>
      <c r="F302" s="490"/>
      <c r="G302" s="606">
        <v>0</v>
      </c>
      <c r="H302" s="607">
        <v>0</v>
      </c>
      <c r="I302" s="607">
        <v>0</v>
      </c>
      <c r="J302" s="607">
        <v>0</v>
      </c>
      <c r="K302" s="607">
        <v>0</v>
      </c>
      <c r="L302" s="607">
        <v>0</v>
      </c>
      <c r="M302" s="607">
        <v>0</v>
      </c>
      <c r="N302" s="607">
        <v>0</v>
      </c>
      <c r="O302" s="607">
        <v>0</v>
      </c>
      <c r="P302" s="607">
        <v>0</v>
      </c>
      <c r="Q302" s="607">
        <v>0</v>
      </c>
      <c r="R302" s="605">
        <v>0</v>
      </c>
      <c r="S302" s="605">
        <v>0</v>
      </c>
      <c r="T302" s="608">
        <f t="shared" ref="T302" si="22">+SUM(G302:S302)/13</f>
        <v>0</v>
      </c>
    </row>
    <row r="303" spans="1:21">
      <c r="A303" s="72">
        <f>+A302+1</f>
        <v>123</v>
      </c>
      <c r="B303" s="71" t="s">
        <v>689</v>
      </c>
      <c r="C303" s="90"/>
      <c r="E303" s="90">
        <v>336</v>
      </c>
      <c r="F303" s="490"/>
      <c r="G303" s="92"/>
      <c r="H303" s="91"/>
      <c r="I303" s="91"/>
      <c r="J303" s="91"/>
      <c r="K303" s="91"/>
      <c r="L303" s="91"/>
      <c r="M303" s="91"/>
      <c r="N303" s="91"/>
      <c r="O303" s="91"/>
      <c r="P303" s="91"/>
      <c r="Q303" s="91"/>
      <c r="R303" s="41"/>
      <c r="S303" s="41"/>
      <c r="T303" s="610">
        <v>0</v>
      </c>
    </row>
    <row r="304" spans="1:21">
      <c r="E304" s="90"/>
      <c r="G304" s="91"/>
      <c r="H304" s="91"/>
      <c r="I304" s="91"/>
      <c r="J304" s="91"/>
      <c r="K304" s="91"/>
      <c r="L304" s="91"/>
      <c r="M304" s="91"/>
      <c r="N304" s="91"/>
      <c r="O304" s="91"/>
      <c r="P304" s="91"/>
      <c r="Q304" s="91"/>
      <c r="R304" s="91"/>
      <c r="S304" s="91"/>
      <c r="T304" s="609"/>
    </row>
    <row r="305" spans="1:20">
      <c r="A305" s="89"/>
      <c r="B305" s="381" t="str">
        <f>+'7B - Schedule 12 Projects'!K8</f>
        <v>Name</v>
      </c>
      <c r="C305" s="90"/>
      <c r="E305" s="90"/>
      <c r="F305" s="490"/>
      <c r="G305" s="91"/>
      <c r="H305" s="91"/>
      <c r="I305" s="91"/>
      <c r="J305" s="91"/>
      <c r="K305" s="91"/>
      <c r="L305" s="91"/>
      <c r="M305" s="91"/>
      <c r="N305" s="91"/>
      <c r="O305" s="91"/>
      <c r="P305" s="91"/>
      <c r="Q305" s="91"/>
      <c r="R305" s="91"/>
      <c r="S305" s="91"/>
      <c r="T305" s="609"/>
    </row>
    <row r="306" spans="1:20">
      <c r="A306" s="89">
        <f>+A303+1</f>
        <v>124</v>
      </c>
      <c r="B306" s="71" t="s">
        <v>687</v>
      </c>
      <c r="C306" s="90"/>
      <c r="E306" s="90" t="s">
        <v>688</v>
      </c>
      <c r="F306" s="490"/>
      <c r="G306" s="606">
        <v>0</v>
      </c>
      <c r="H306" s="607">
        <v>0</v>
      </c>
      <c r="I306" s="607">
        <v>0</v>
      </c>
      <c r="J306" s="607">
        <v>0</v>
      </c>
      <c r="K306" s="607">
        <v>0</v>
      </c>
      <c r="L306" s="607">
        <v>0</v>
      </c>
      <c r="M306" s="607">
        <v>0</v>
      </c>
      <c r="N306" s="607">
        <v>0</v>
      </c>
      <c r="O306" s="607">
        <v>0</v>
      </c>
      <c r="P306" s="607">
        <v>0</v>
      </c>
      <c r="Q306" s="607">
        <v>0</v>
      </c>
      <c r="R306" s="605">
        <v>0</v>
      </c>
      <c r="S306" s="605">
        <v>0</v>
      </c>
      <c r="T306" s="608">
        <f>+SUM(G306:S306)/13</f>
        <v>0</v>
      </c>
    </row>
    <row r="307" spans="1:20">
      <c r="A307" s="89">
        <f>+A306+1</f>
        <v>125</v>
      </c>
      <c r="B307" s="71" t="s">
        <v>31</v>
      </c>
      <c r="C307" s="90"/>
      <c r="E307" s="90">
        <v>219</v>
      </c>
      <c r="F307" s="490"/>
      <c r="G307" s="606">
        <v>0</v>
      </c>
      <c r="H307" s="607">
        <v>0</v>
      </c>
      <c r="I307" s="607">
        <v>0</v>
      </c>
      <c r="J307" s="607">
        <v>0</v>
      </c>
      <c r="K307" s="607">
        <v>0</v>
      </c>
      <c r="L307" s="607">
        <v>0</v>
      </c>
      <c r="M307" s="607">
        <v>0</v>
      </c>
      <c r="N307" s="607">
        <v>0</v>
      </c>
      <c r="O307" s="607">
        <v>0</v>
      </c>
      <c r="P307" s="607">
        <v>0</v>
      </c>
      <c r="Q307" s="607">
        <v>0</v>
      </c>
      <c r="R307" s="605">
        <v>0</v>
      </c>
      <c r="S307" s="605">
        <v>0</v>
      </c>
      <c r="T307" s="608">
        <f t="shared" ref="T307" si="23">+SUM(G307:S307)/13</f>
        <v>0</v>
      </c>
    </row>
    <row r="308" spans="1:20">
      <c r="A308" s="72">
        <f>+A307+1</f>
        <v>126</v>
      </c>
      <c r="B308" s="71" t="s">
        <v>689</v>
      </c>
      <c r="C308" s="90"/>
      <c r="E308" s="90">
        <v>336</v>
      </c>
      <c r="F308" s="490"/>
      <c r="G308" s="92"/>
      <c r="H308" s="91"/>
      <c r="I308" s="91"/>
      <c r="J308" s="91"/>
      <c r="K308" s="91"/>
      <c r="L308" s="91"/>
      <c r="M308" s="91"/>
      <c r="N308" s="91"/>
      <c r="O308" s="91"/>
      <c r="P308" s="91"/>
      <c r="Q308" s="91"/>
      <c r="R308" s="41"/>
      <c r="S308" s="41"/>
      <c r="T308" s="610">
        <v>0</v>
      </c>
    </row>
    <row r="309" spans="1:20">
      <c r="E309" s="90"/>
      <c r="G309" s="91"/>
      <c r="H309" s="91"/>
      <c r="I309" s="91"/>
      <c r="J309" s="91"/>
      <c r="K309" s="91"/>
      <c r="L309" s="91"/>
      <c r="M309" s="91"/>
      <c r="N309" s="91"/>
      <c r="O309" s="91"/>
      <c r="P309" s="91"/>
      <c r="Q309" s="91"/>
      <c r="R309" s="91"/>
      <c r="S309" s="91"/>
      <c r="T309" s="609"/>
    </row>
    <row r="310" spans="1:20">
      <c r="A310" s="89"/>
      <c r="B310" s="381" t="str">
        <f>+'7B - Schedule 12 Projects'!M8</f>
        <v>Name</v>
      </c>
      <c r="C310" s="90"/>
      <c r="E310" s="90"/>
      <c r="F310" s="490"/>
      <c r="G310" s="91"/>
      <c r="H310" s="91"/>
      <c r="I310" s="91"/>
      <c r="J310" s="91"/>
      <c r="K310" s="91"/>
      <c r="L310" s="91"/>
      <c r="M310" s="91"/>
      <c r="N310" s="91"/>
      <c r="O310" s="91"/>
      <c r="P310" s="91"/>
      <c r="Q310" s="91"/>
      <c r="R310" s="91"/>
      <c r="S310" s="91"/>
      <c r="T310" s="609"/>
    </row>
    <row r="311" spans="1:20">
      <c r="A311" s="89">
        <f>+A308+1</f>
        <v>127</v>
      </c>
      <c r="B311" s="71" t="s">
        <v>687</v>
      </c>
      <c r="C311" s="90"/>
      <c r="E311" s="90" t="s">
        <v>688</v>
      </c>
      <c r="F311" s="490"/>
      <c r="G311" s="606">
        <v>0</v>
      </c>
      <c r="H311" s="607">
        <v>0</v>
      </c>
      <c r="I311" s="607">
        <v>0</v>
      </c>
      <c r="J311" s="607">
        <v>0</v>
      </c>
      <c r="K311" s="607">
        <v>0</v>
      </c>
      <c r="L311" s="607">
        <v>0</v>
      </c>
      <c r="M311" s="607">
        <v>0</v>
      </c>
      <c r="N311" s="607">
        <v>0</v>
      </c>
      <c r="O311" s="607">
        <v>0</v>
      </c>
      <c r="P311" s="607">
        <v>0</v>
      </c>
      <c r="Q311" s="607">
        <v>0</v>
      </c>
      <c r="R311" s="605">
        <v>0</v>
      </c>
      <c r="S311" s="605">
        <v>0</v>
      </c>
      <c r="T311" s="608">
        <f>+SUM(G311:S311)/13</f>
        <v>0</v>
      </c>
    </row>
    <row r="312" spans="1:20">
      <c r="A312" s="89">
        <f>+A311+1</f>
        <v>128</v>
      </c>
      <c r="B312" s="71" t="s">
        <v>31</v>
      </c>
      <c r="C312" s="90"/>
      <c r="E312" s="90">
        <v>219</v>
      </c>
      <c r="F312" s="490"/>
      <c r="G312" s="606">
        <v>0</v>
      </c>
      <c r="H312" s="607">
        <v>0</v>
      </c>
      <c r="I312" s="607">
        <v>0</v>
      </c>
      <c r="J312" s="607">
        <v>0</v>
      </c>
      <c r="K312" s="607">
        <v>0</v>
      </c>
      <c r="L312" s="607">
        <v>0</v>
      </c>
      <c r="M312" s="607">
        <v>0</v>
      </c>
      <c r="N312" s="607">
        <v>0</v>
      </c>
      <c r="O312" s="607">
        <v>0</v>
      </c>
      <c r="P312" s="607">
        <v>0</v>
      </c>
      <c r="Q312" s="607">
        <v>0</v>
      </c>
      <c r="R312" s="605">
        <v>0</v>
      </c>
      <c r="S312" s="605">
        <v>0</v>
      </c>
      <c r="T312" s="608">
        <f t="shared" ref="T312" si="24">+SUM(G312:S312)/13</f>
        <v>0</v>
      </c>
    </row>
    <row r="313" spans="1:20">
      <c r="A313" s="72">
        <f>+A312+1</f>
        <v>129</v>
      </c>
      <c r="B313" s="71" t="s">
        <v>689</v>
      </c>
      <c r="C313" s="90"/>
      <c r="E313" s="90">
        <v>336</v>
      </c>
      <c r="F313" s="490"/>
      <c r="G313" s="92"/>
      <c r="H313" s="91"/>
      <c r="I313" s="91"/>
      <c r="J313" s="91"/>
      <c r="K313" s="91"/>
      <c r="L313" s="91"/>
      <c r="M313" s="91"/>
      <c r="N313" s="91"/>
      <c r="O313" s="91"/>
      <c r="P313" s="91"/>
      <c r="Q313" s="91"/>
      <c r="R313" s="41"/>
      <c r="S313" s="41"/>
      <c r="T313" s="610">
        <v>0</v>
      </c>
    </row>
    <row r="314" spans="1:20">
      <c r="C314" s="90"/>
      <c r="E314" s="90"/>
      <c r="F314" s="490"/>
      <c r="G314" s="92"/>
      <c r="H314" s="91"/>
      <c r="I314" s="91"/>
      <c r="J314" s="91"/>
      <c r="K314" s="91"/>
      <c r="L314" s="91"/>
      <c r="M314" s="91"/>
      <c r="N314" s="91"/>
      <c r="O314" s="91"/>
      <c r="P314" s="91"/>
      <c r="Q314" s="91"/>
      <c r="R314" s="41"/>
      <c r="S314" s="41"/>
      <c r="T314" s="608"/>
    </row>
    <row r="315" spans="1:20">
      <c r="A315" s="89"/>
      <c r="B315" s="381" t="str">
        <f>+'7B - Schedule 12 Projects'!O8</f>
        <v>Name</v>
      </c>
      <c r="C315" s="90"/>
      <c r="E315" s="90"/>
      <c r="F315" s="490"/>
      <c r="G315" s="91"/>
      <c r="H315" s="91"/>
      <c r="I315" s="91"/>
      <c r="J315" s="91"/>
      <c r="K315" s="91"/>
      <c r="L315" s="91"/>
      <c r="M315" s="91"/>
      <c r="N315" s="91"/>
      <c r="O315" s="91"/>
      <c r="P315" s="91"/>
      <c r="Q315" s="91"/>
      <c r="R315" s="91"/>
      <c r="S315" s="91"/>
      <c r="T315" s="609"/>
    </row>
    <row r="316" spans="1:20">
      <c r="A316" s="89">
        <f>+A313+1</f>
        <v>130</v>
      </c>
      <c r="B316" s="71" t="s">
        <v>687</v>
      </c>
      <c r="C316" s="90"/>
      <c r="E316" s="90" t="s">
        <v>688</v>
      </c>
      <c r="F316" s="490"/>
      <c r="G316" s="606">
        <v>0</v>
      </c>
      <c r="H316" s="607">
        <v>0</v>
      </c>
      <c r="I316" s="607">
        <v>0</v>
      </c>
      <c r="J316" s="607">
        <v>0</v>
      </c>
      <c r="K316" s="607">
        <v>0</v>
      </c>
      <c r="L316" s="607">
        <v>0</v>
      </c>
      <c r="M316" s="607">
        <v>0</v>
      </c>
      <c r="N316" s="607">
        <v>0</v>
      </c>
      <c r="O316" s="607">
        <v>0</v>
      </c>
      <c r="P316" s="607">
        <v>0</v>
      </c>
      <c r="Q316" s="607">
        <v>0</v>
      </c>
      <c r="R316" s="605">
        <v>0</v>
      </c>
      <c r="S316" s="605">
        <v>0</v>
      </c>
      <c r="T316" s="608">
        <f>+SUM(G316:S316)/13</f>
        <v>0</v>
      </c>
    </row>
    <row r="317" spans="1:20">
      <c r="A317" s="89">
        <f>+A316+1</f>
        <v>131</v>
      </c>
      <c r="B317" s="71" t="s">
        <v>31</v>
      </c>
      <c r="C317" s="90"/>
      <c r="E317" s="90">
        <v>219</v>
      </c>
      <c r="F317" s="490"/>
      <c r="G317" s="606">
        <v>0</v>
      </c>
      <c r="H317" s="607">
        <v>0</v>
      </c>
      <c r="I317" s="607">
        <v>0</v>
      </c>
      <c r="J317" s="607">
        <v>0</v>
      </c>
      <c r="K317" s="607">
        <v>0</v>
      </c>
      <c r="L317" s="607">
        <v>0</v>
      </c>
      <c r="M317" s="607">
        <v>0</v>
      </c>
      <c r="N317" s="607">
        <v>0</v>
      </c>
      <c r="O317" s="607">
        <v>0</v>
      </c>
      <c r="P317" s="607">
        <v>0</v>
      </c>
      <c r="Q317" s="607">
        <v>0</v>
      </c>
      <c r="R317" s="605">
        <v>0</v>
      </c>
      <c r="S317" s="605">
        <v>0</v>
      </c>
      <c r="T317" s="608">
        <f t="shared" ref="T317" si="25">+SUM(G317:S317)/13</f>
        <v>0</v>
      </c>
    </row>
    <row r="318" spans="1:20">
      <c r="A318" s="89">
        <f>+A317+1</f>
        <v>132</v>
      </c>
      <c r="B318" s="71" t="s">
        <v>689</v>
      </c>
      <c r="C318" s="90"/>
      <c r="E318" s="90">
        <v>336</v>
      </c>
      <c r="F318" s="490"/>
      <c r="G318" s="92"/>
      <c r="H318" s="91"/>
      <c r="I318" s="91"/>
      <c r="J318" s="91"/>
      <c r="K318" s="91"/>
      <c r="L318" s="91"/>
      <c r="M318" s="91"/>
      <c r="N318" s="91"/>
      <c r="O318" s="91"/>
      <c r="P318" s="91"/>
      <c r="Q318" s="91"/>
      <c r="R318" s="41"/>
      <c r="S318" s="41"/>
      <c r="T318" s="610">
        <v>0</v>
      </c>
    </row>
    <row r="319" spans="1:20">
      <c r="A319" s="89"/>
      <c r="C319" s="90"/>
      <c r="E319" s="90"/>
      <c r="F319" s="490"/>
      <c r="G319" s="92"/>
      <c r="H319" s="91"/>
      <c r="I319" s="91"/>
      <c r="J319" s="91"/>
      <c r="K319" s="91"/>
      <c r="L319" s="91"/>
      <c r="M319" s="91"/>
      <c r="N319" s="91"/>
      <c r="O319" s="91"/>
      <c r="P319" s="91"/>
      <c r="Q319" s="91"/>
      <c r="R319" s="41"/>
      <c r="S319" s="41"/>
      <c r="T319" s="608"/>
    </row>
    <row r="320" spans="1:20">
      <c r="A320" s="89"/>
      <c r="B320" s="381" t="str">
        <f>+'7B - Schedule 12 Projects'!Q8</f>
        <v>Name</v>
      </c>
      <c r="C320" s="90"/>
      <c r="E320" s="90"/>
      <c r="F320" s="490"/>
      <c r="G320" s="91"/>
      <c r="H320" s="91"/>
      <c r="I320" s="91"/>
      <c r="J320" s="91"/>
      <c r="K320" s="91"/>
      <c r="L320" s="91"/>
      <c r="M320" s="91"/>
      <c r="N320" s="91"/>
      <c r="O320" s="91"/>
      <c r="P320" s="91"/>
      <c r="Q320" s="91"/>
      <c r="R320" s="91"/>
      <c r="S320" s="91"/>
      <c r="T320" s="609"/>
    </row>
    <row r="321" spans="1:20">
      <c r="A321" s="89">
        <f>+A318+1</f>
        <v>133</v>
      </c>
      <c r="B321" s="71" t="s">
        <v>687</v>
      </c>
      <c r="C321" s="90"/>
      <c r="E321" s="90" t="s">
        <v>688</v>
      </c>
      <c r="F321" s="490"/>
      <c r="G321" s="606">
        <v>0</v>
      </c>
      <c r="H321" s="607">
        <v>0</v>
      </c>
      <c r="I321" s="607">
        <v>0</v>
      </c>
      <c r="J321" s="607">
        <v>0</v>
      </c>
      <c r="K321" s="607">
        <v>0</v>
      </c>
      <c r="L321" s="607">
        <v>0</v>
      </c>
      <c r="M321" s="607">
        <v>0</v>
      </c>
      <c r="N321" s="607">
        <v>0</v>
      </c>
      <c r="O321" s="607">
        <v>0</v>
      </c>
      <c r="P321" s="607">
        <v>0</v>
      </c>
      <c r="Q321" s="607">
        <v>0</v>
      </c>
      <c r="R321" s="605">
        <v>0</v>
      </c>
      <c r="S321" s="605">
        <v>0</v>
      </c>
      <c r="T321" s="608">
        <f>+SUM(G321:S321)/13</f>
        <v>0</v>
      </c>
    </row>
    <row r="322" spans="1:20">
      <c r="A322" s="89">
        <f>+A321+1</f>
        <v>134</v>
      </c>
      <c r="B322" s="71" t="s">
        <v>31</v>
      </c>
      <c r="C322" s="90"/>
      <c r="E322" s="90">
        <v>219</v>
      </c>
      <c r="F322" s="490"/>
      <c r="G322" s="606">
        <v>0</v>
      </c>
      <c r="H322" s="607">
        <v>0</v>
      </c>
      <c r="I322" s="607">
        <v>0</v>
      </c>
      <c r="J322" s="607">
        <v>0</v>
      </c>
      <c r="K322" s="607">
        <v>0</v>
      </c>
      <c r="L322" s="607">
        <v>0</v>
      </c>
      <c r="M322" s="607">
        <v>0</v>
      </c>
      <c r="N322" s="607">
        <v>0</v>
      </c>
      <c r="O322" s="607">
        <v>0</v>
      </c>
      <c r="P322" s="607">
        <v>0</v>
      </c>
      <c r="Q322" s="607">
        <v>0</v>
      </c>
      <c r="R322" s="605">
        <v>0</v>
      </c>
      <c r="S322" s="605">
        <v>0</v>
      </c>
      <c r="T322" s="608">
        <f t="shared" ref="T322" si="26">+SUM(G322:S322)/13</f>
        <v>0</v>
      </c>
    </row>
    <row r="323" spans="1:20">
      <c r="A323" s="89">
        <f>+A322+1</f>
        <v>135</v>
      </c>
      <c r="B323" s="71" t="s">
        <v>689</v>
      </c>
      <c r="C323" s="90"/>
      <c r="E323" s="90">
        <v>336</v>
      </c>
      <c r="F323" s="490"/>
      <c r="G323" s="92"/>
      <c r="H323" s="91"/>
      <c r="I323" s="91"/>
      <c r="J323" s="91"/>
      <c r="K323" s="91"/>
      <c r="L323" s="91"/>
      <c r="M323" s="91"/>
      <c r="N323" s="91"/>
      <c r="O323" s="91"/>
      <c r="P323" s="91"/>
      <c r="Q323" s="91"/>
      <c r="R323" s="41"/>
      <c r="S323" s="41"/>
      <c r="T323" s="610">
        <v>0</v>
      </c>
    </row>
    <row r="324" spans="1:20">
      <c r="A324" s="89"/>
      <c r="C324" s="90"/>
      <c r="E324" s="90"/>
      <c r="F324" s="490"/>
      <c r="G324" s="92"/>
      <c r="H324" s="91"/>
      <c r="I324" s="91"/>
      <c r="J324" s="91"/>
      <c r="K324" s="91"/>
      <c r="L324" s="91"/>
      <c r="M324" s="91"/>
      <c r="N324" s="91"/>
      <c r="O324" s="91"/>
      <c r="P324" s="91"/>
      <c r="Q324" s="91"/>
      <c r="R324" s="41"/>
      <c r="S324" s="41"/>
      <c r="T324" s="608"/>
    </row>
    <row r="325" spans="1:20">
      <c r="A325" s="89"/>
      <c r="B325" s="381" t="str">
        <f>+'7B - Schedule 12 Projects'!S8</f>
        <v>Name</v>
      </c>
      <c r="C325" s="90"/>
      <c r="E325" s="90"/>
      <c r="F325" s="490"/>
      <c r="G325" s="91"/>
      <c r="H325" s="91"/>
      <c r="I325" s="91"/>
      <c r="J325" s="91"/>
      <c r="K325" s="91"/>
      <c r="L325" s="91"/>
      <c r="M325" s="91"/>
      <c r="N325" s="91"/>
      <c r="O325" s="91"/>
      <c r="P325" s="91"/>
      <c r="Q325" s="91"/>
      <c r="R325" s="91"/>
      <c r="S325" s="91"/>
      <c r="T325" s="609"/>
    </row>
    <row r="326" spans="1:20">
      <c r="A326" s="89">
        <f>+A323+1</f>
        <v>136</v>
      </c>
      <c r="B326" s="71" t="s">
        <v>687</v>
      </c>
      <c r="C326" s="90"/>
      <c r="E326" s="90" t="s">
        <v>688</v>
      </c>
      <c r="F326" s="490"/>
      <c r="G326" s="606">
        <v>0</v>
      </c>
      <c r="H326" s="607">
        <v>0</v>
      </c>
      <c r="I326" s="607">
        <v>0</v>
      </c>
      <c r="J326" s="607">
        <v>0</v>
      </c>
      <c r="K326" s="607">
        <v>0</v>
      </c>
      <c r="L326" s="607">
        <v>0</v>
      </c>
      <c r="M326" s="607">
        <v>0</v>
      </c>
      <c r="N326" s="607">
        <v>0</v>
      </c>
      <c r="O326" s="607">
        <v>0</v>
      </c>
      <c r="P326" s="607">
        <v>0</v>
      </c>
      <c r="Q326" s="607">
        <v>0</v>
      </c>
      <c r="R326" s="605">
        <v>0</v>
      </c>
      <c r="S326" s="605">
        <v>0</v>
      </c>
      <c r="T326" s="608">
        <f>+SUM(G326:S326)/13</f>
        <v>0</v>
      </c>
    </row>
    <row r="327" spans="1:20">
      <c r="A327" s="89">
        <f>+A326+1</f>
        <v>137</v>
      </c>
      <c r="B327" s="71" t="s">
        <v>31</v>
      </c>
      <c r="C327" s="90"/>
      <c r="E327" s="90">
        <v>219</v>
      </c>
      <c r="F327" s="490"/>
      <c r="G327" s="606">
        <v>0</v>
      </c>
      <c r="H327" s="607">
        <v>0</v>
      </c>
      <c r="I327" s="607">
        <v>0</v>
      </c>
      <c r="J327" s="607">
        <v>0</v>
      </c>
      <c r="K327" s="607">
        <v>0</v>
      </c>
      <c r="L327" s="607">
        <v>0</v>
      </c>
      <c r="M327" s="607">
        <v>0</v>
      </c>
      <c r="N327" s="607">
        <v>0</v>
      </c>
      <c r="O327" s="607">
        <v>0</v>
      </c>
      <c r="P327" s="607">
        <v>0</v>
      </c>
      <c r="Q327" s="607">
        <v>0</v>
      </c>
      <c r="R327" s="605">
        <v>0</v>
      </c>
      <c r="S327" s="605">
        <v>0</v>
      </c>
      <c r="T327" s="608">
        <f t="shared" ref="T327" si="27">+SUM(G327:S327)/13</f>
        <v>0</v>
      </c>
    </row>
    <row r="328" spans="1:20">
      <c r="A328" s="89">
        <f>+A327+1</f>
        <v>138</v>
      </c>
      <c r="B328" s="71" t="s">
        <v>689</v>
      </c>
      <c r="C328" s="90"/>
      <c r="E328" s="90">
        <v>336</v>
      </c>
      <c r="F328" s="490"/>
      <c r="G328" s="92"/>
      <c r="H328" s="91"/>
      <c r="I328" s="91"/>
      <c r="J328" s="91"/>
      <c r="K328" s="91"/>
      <c r="L328" s="91"/>
      <c r="M328" s="91"/>
      <c r="N328" s="91"/>
      <c r="O328" s="91"/>
      <c r="P328" s="91"/>
      <c r="Q328" s="91"/>
      <c r="R328" s="41"/>
      <c r="S328" s="41"/>
      <c r="T328" s="610">
        <v>0</v>
      </c>
    </row>
    <row r="329" spans="1:20">
      <c r="A329" s="89"/>
      <c r="C329" s="90"/>
      <c r="E329" s="90"/>
      <c r="F329" s="490"/>
      <c r="G329" s="92"/>
      <c r="H329" s="91"/>
      <c r="I329" s="91"/>
      <c r="J329" s="91"/>
      <c r="K329" s="91"/>
      <c r="L329" s="91"/>
      <c r="M329" s="91"/>
      <c r="N329" s="91"/>
      <c r="O329" s="91"/>
      <c r="P329" s="91"/>
      <c r="Q329" s="91"/>
      <c r="R329" s="41"/>
      <c r="S329" s="41"/>
      <c r="T329" s="608"/>
    </row>
    <row r="330" spans="1:20">
      <c r="A330" s="89"/>
      <c r="B330" s="381" t="str">
        <f>+'7B - Schedule 12 Projects'!U8</f>
        <v>Name</v>
      </c>
      <c r="C330" s="90"/>
      <c r="E330" s="90"/>
      <c r="F330" s="490"/>
      <c r="G330" s="91"/>
      <c r="H330" s="91"/>
      <c r="I330" s="91"/>
      <c r="J330" s="91"/>
      <c r="K330" s="91"/>
      <c r="L330" s="91"/>
      <c r="M330" s="91"/>
      <c r="N330" s="91"/>
      <c r="O330" s="91"/>
      <c r="P330" s="91"/>
      <c r="Q330" s="91"/>
      <c r="R330" s="91"/>
      <c r="S330" s="91"/>
      <c r="T330" s="609"/>
    </row>
    <row r="331" spans="1:20">
      <c r="A331" s="89">
        <f>+A328+1</f>
        <v>139</v>
      </c>
      <c r="B331" s="71" t="s">
        <v>687</v>
      </c>
      <c r="C331" s="90"/>
      <c r="E331" s="90" t="s">
        <v>688</v>
      </c>
      <c r="F331" s="490"/>
      <c r="G331" s="606">
        <v>0</v>
      </c>
      <c r="H331" s="607">
        <v>0</v>
      </c>
      <c r="I331" s="607">
        <v>0</v>
      </c>
      <c r="J331" s="607">
        <v>0</v>
      </c>
      <c r="K331" s="607">
        <v>0</v>
      </c>
      <c r="L331" s="607">
        <v>0</v>
      </c>
      <c r="M331" s="607">
        <v>0</v>
      </c>
      <c r="N331" s="607">
        <v>0</v>
      </c>
      <c r="O331" s="607">
        <v>0</v>
      </c>
      <c r="P331" s="607">
        <v>0</v>
      </c>
      <c r="Q331" s="607">
        <v>0</v>
      </c>
      <c r="R331" s="605">
        <v>0</v>
      </c>
      <c r="S331" s="605">
        <v>0</v>
      </c>
      <c r="T331" s="608">
        <f>+SUM(G331:S331)/13</f>
        <v>0</v>
      </c>
    </row>
    <row r="332" spans="1:20">
      <c r="A332" s="89">
        <f>+A331+1</f>
        <v>140</v>
      </c>
      <c r="B332" s="71" t="s">
        <v>31</v>
      </c>
      <c r="C332" s="90"/>
      <c r="E332" s="90">
        <v>219</v>
      </c>
      <c r="F332" s="490"/>
      <c r="G332" s="606">
        <v>0</v>
      </c>
      <c r="H332" s="607">
        <v>0</v>
      </c>
      <c r="I332" s="607">
        <v>0</v>
      </c>
      <c r="J332" s="607">
        <v>0</v>
      </c>
      <c r="K332" s="607">
        <v>0</v>
      </c>
      <c r="L332" s="607">
        <v>0</v>
      </c>
      <c r="M332" s="607">
        <v>0</v>
      </c>
      <c r="N332" s="607">
        <v>0</v>
      </c>
      <c r="O332" s="607">
        <v>0</v>
      </c>
      <c r="P332" s="607">
        <v>0</v>
      </c>
      <c r="Q332" s="607">
        <v>0</v>
      </c>
      <c r="R332" s="605">
        <v>0</v>
      </c>
      <c r="S332" s="605">
        <v>0</v>
      </c>
      <c r="T332" s="608">
        <f t="shared" ref="T332" si="28">+SUM(G332:S332)/13</f>
        <v>0</v>
      </c>
    </row>
    <row r="333" spans="1:20">
      <c r="A333" s="89">
        <f>+A332+1</f>
        <v>141</v>
      </c>
      <c r="B333" s="71" t="s">
        <v>689</v>
      </c>
      <c r="C333" s="90"/>
      <c r="E333" s="90">
        <v>336</v>
      </c>
      <c r="F333" s="490"/>
      <c r="G333" s="92"/>
      <c r="H333" s="91"/>
      <c r="I333" s="91"/>
      <c r="J333" s="91"/>
      <c r="K333" s="91"/>
      <c r="L333" s="91"/>
      <c r="M333" s="91"/>
      <c r="N333" s="91"/>
      <c r="O333" s="91"/>
      <c r="P333" s="91"/>
      <c r="Q333" s="91"/>
      <c r="R333" s="41"/>
      <c r="S333" s="41"/>
      <c r="T333" s="610">
        <v>0</v>
      </c>
    </row>
    <row r="334" spans="1:20">
      <c r="A334" s="89"/>
      <c r="C334" s="90"/>
      <c r="E334" s="90"/>
      <c r="F334" s="490"/>
      <c r="G334" s="92"/>
      <c r="H334" s="91"/>
      <c r="I334" s="91"/>
      <c r="J334" s="91"/>
      <c r="K334" s="91"/>
      <c r="L334" s="91"/>
      <c r="M334" s="91"/>
      <c r="N334" s="91"/>
      <c r="O334" s="91"/>
      <c r="P334" s="91"/>
      <c r="Q334" s="91"/>
      <c r="R334" s="41"/>
      <c r="S334" s="41"/>
      <c r="T334" s="608"/>
    </row>
    <row r="335" spans="1:20">
      <c r="A335" s="89"/>
      <c r="B335" s="381" t="str">
        <f>+'7B - Schedule 12 Projects'!W8</f>
        <v>Name</v>
      </c>
      <c r="C335" s="90"/>
      <c r="E335" s="90"/>
      <c r="F335" s="490"/>
      <c r="G335" s="91"/>
      <c r="H335" s="91"/>
      <c r="I335" s="91"/>
      <c r="J335" s="91"/>
      <c r="K335" s="91"/>
      <c r="L335" s="91"/>
      <c r="M335" s="91"/>
      <c r="N335" s="91"/>
      <c r="O335" s="91"/>
      <c r="P335" s="91"/>
      <c r="Q335" s="91"/>
      <c r="R335" s="91"/>
      <c r="S335" s="91"/>
      <c r="T335" s="609"/>
    </row>
    <row r="336" spans="1:20">
      <c r="A336" s="89">
        <f>+A333+1</f>
        <v>142</v>
      </c>
      <c r="B336" s="71" t="s">
        <v>687</v>
      </c>
      <c r="C336" s="90"/>
      <c r="E336" s="90" t="s">
        <v>688</v>
      </c>
      <c r="F336" s="490"/>
      <c r="G336" s="606">
        <v>0</v>
      </c>
      <c r="H336" s="607">
        <v>0</v>
      </c>
      <c r="I336" s="607">
        <v>0</v>
      </c>
      <c r="J336" s="607">
        <v>0</v>
      </c>
      <c r="K336" s="607">
        <v>0</v>
      </c>
      <c r="L336" s="607">
        <v>0</v>
      </c>
      <c r="M336" s="607">
        <v>0</v>
      </c>
      <c r="N336" s="607">
        <v>0</v>
      </c>
      <c r="O336" s="607">
        <v>0</v>
      </c>
      <c r="P336" s="607">
        <v>0</v>
      </c>
      <c r="Q336" s="607">
        <v>0</v>
      </c>
      <c r="R336" s="605">
        <v>0</v>
      </c>
      <c r="S336" s="605">
        <v>0</v>
      </c>
      <c r="T336" s="608">
        <f>+SUM(G336:S336)/13</f>
        <v>0</v>
      </c>
    </row>
    <row r="337" spans="1:20">
      <c r="A337" s="89">
        <f>+A336+1</f>
        <v>143</v>
      </c>
      <c r="B337" s="71" t="s">
        <v>31</v>
      </c>
      <c r="C337" s="90"/>
      <c r="E337" s="90">
        <v>219</v>
      </c>
      <c r="F337" s="490"/>
      <c r="G337" s="606">
        <v>0</v>
      </c>
      <c r="H337" s="607">
        <v>0</v>
      </c>
      <c r="I337" s="607">
        <v>0</v>
      </c>
      <c r="J337" s="607">
        <v>0</v>
      </c>
      <c r="K337" s="607">
        <v>0</v>
      </c>
      <c r="L337" s="607">
        <v>0</v>
      </c>
      <c r="M337" s="607">
        <v>0</v>
      </c>
      <c r="N337" s="607">
        <v>0</v>
      </c>
      <c r="O337" s="607">
        <v>0</v>
      </c>
      <c r="P337" s="607">
        <v>0</v>
      </c>
      <c r="Q337" s="607">
        <v>0</v>
      </c>
      <c r="R337" s="605">
        <v>0</v>
      </c>
      <c r="S337" s="605">
        <v>0</v>
      </c>
      <c r="T337" s="608">
        <f t="shared" ref="T337" si="29">+SUM(G337:S337)/13</f>
        <v>0</v>
      </c>
    </row>
    <row r="338" spans="1:20">
      <c r="A338" s="89">
        <f>+A337+1</f>
        <v>144</v>
      </c>
      <c r="B338" s="71" t="s">
        <v>689</v>
      </c>
      <c r="C338" s="90"/>
      <c r="E338" s="90">
        <v>336</v>
      </c>
      <c r="F338" s="490"/>
      <c r="G338" s="92"/>
      <c r="H338" s="91"/>
      <c r="I338" s="91"/>
      <c r="J338" s="91"/>
      <c r="K338" s="91"/>
      <c r="L338" s="91"/>
      <c r="M338" s="91"/>
      <c r="N338" s="91"/>
      <c r="O338" s="91"/>
      <c r="P338" s="91"/>
      <c r="Q338" s="91"/>
      <c r="R338" s="41"/>
      <c r="S338" s="41"/>
      <c r="T338" s="610">
        <v>0</v>
      </c>
    </row>
    <row r="339" spans="1:20">
      <c r="A339" s="89"/>
      <c r="C339" s="90"/>
      <c r="E339" s="90"/>
      <c r="F339" s="490"/>
      <c r="G339" s="92"/>
      <c r="H339" s="91"/>
      <c r="I339" s="91"/>
      <c r="J339" s="91"/>
      <c r="K339" s="91"/>
      <c r="L339" s="91"/>
      <c r="M339" s="91"/>
      <c r="N339" s="91"/>
      <c r="O339" s="91"/>
      <c r="P339" s="91"/>
      <c r="Q339" s="91"/>
      <c r="R339" s="41"/>
      <c r="S339" s="41"/>
      <c r="T339" s="608"/>
    </row>
    <row r="340" spans="1:20">
      <c r="A340" s="89"/>
      <c r="B340" s="381" t="str">
        <f>+'7B - Schedule 12 Projects'!Y8</f>
        <v>Name</v>
      </c>
      <c r="C340" s="90"/>
      <c r="E340" s="90"/>
      <c r="F340" s="490"/>
      <c r="G340" s="91"/>
      <c r="H340" s="91"/>
      <c r="I340" s="91"/>
      <c r="J340" s="91"/>
      <c r="K340" s="91"/>
      <c r="L340" s="91"/>
      <c r="M340" s="91"/>
      <c r="N340" s="91"/>
      <c r="O340" s="91"/>
      <c r="P340" s="91"/>
      <c r="Q340" s="91"/>
      <c r="R340" s="91"/>
      <c r="S340" s="91"/>
      <c r="T340" s="609"/>
    </row>
    <row r="341" spans="1:20">
      <c r="A341" s="89">
        <f>+A338+1</f>
        <v>145</v>
      </c>
      <c r="B341" s="71" t="s">
        <v>687</v>
      </c>
      <c r="C341" s="90"/>
      <c r="E341" s="90" t="s">
        <v>688</v>
      </c>
      <c r="F341" s="490"/>
      <c r="G341" s="606">
        <v>0</v>
      </c>
      <c r="H341" s="607">
        <v>0</v>
      </c>
      <c r="I341" s="607">
        <v>0</v>
      </c>
      <c r="J341" s="607">
        <v>0</v>
      </c>
      <c r="K341" s="607">
        <v>0</v>
      </c>
      <c r="L341" s="607">
        <v>0</v>
      </c>
      <c r="M341" s="607">
        <v>0</v>
      </c>
      <c r="N341" s="607">
        <v>0</v>
      </c>
      <c r="O341" s="607">
        <v>0</v>
      </c>
      <c r="P341" s="607">
        <v>0</v>
      </c>
      <c r="Q341" s="607">
        <v>0</v>
      </c>
      <c r="R341" s="605">
        <v>0</v>
      </c>
      <c r="S341" s="605">
        <v>0</v>
      </c>
      <c r="T341" s="608">
        <f>+SUM(G341:S341)/13</f>
        <v>0</v>
      </c>
    </row>
    <row r="342" spans="1:20">
      <c r="A342" s="89">
        <f>+A341+1</f>
        <v>146</v>
      </c>
      <c r="B342" s="71" t="s">
        <v>31</v>
      </c>
      <c r="C342" s="90"/>
      <c r="E342" s="90">
        <v>219</v>
      </c>
      <c r="F342" s="490"/>
      <c r="G342" s="606">
        <v>0</v>
      </c>
      <c r="H342" s="607">
        <v>0</v>
      </c>
      <c r="I342" s="607">
        <v>0</v>
      </c>
      <c r="J342" s="607">
        <v>0</v>
      </c>
      <c r="K342" s="607">
        <v>0</v>
      </c>
      <c r="L342" s="607">
        <v>0</v>
      </c>
      <c r="M342" s="607">
        <v>0</v>
      </c>
      <c r="N342" s="607">
        <v>0</v>
      </c>
      <c r="O342" s="607">
        <v>0</v>
      </c>
      <c r="P342" s="607">
        <v>0</v>
      </c>
      <c r="Q342" s="607">
        <v>0</v>
      </c>
      <c r="R342" s="605">
        <v>0</v>
      </c>
      <c r="S342" s="605">
        <v>0</v>
      </c>
      <c r="T342" s="608">
        <f t="shared" ref="T342" si="30">+SUM(G342:S342)/13</f>
        <v>0</v>
      </c>
    </row>
    <row r="343" spans="1:20">
      <c r="A343" s="89">
        <f>+A342+1</f>
        <v>147</v>
      </c>
      <c r="B343" s="71" t="s">
        <v>689</v>
      </c>
      <c r="C343" s="90"/>
      <c r="E343" s="90">
        <v>336</v>
      </c>
      <c r="F343" s="490"/>
      <c r="G343" s="92"/>
      <c r="H343" s="91"/>
      <c r="I343" s="91"/>
      <c r="J343" s="91"/>
      <c r="K343" s="91"/>
      <c r="L343" s="91"/>
      <c r="M343" s="91"/>
      <c r="N343" s="91"/>
      <c r="O343" s="91"/>
      <c r="P343" s="91"/>
      <c r="Q343" s="91"/>
      <c r="R343" s="41"/>
      <c r="S343" s="41"/>
      <c r="T343" s="610">
        <v>0</v>
      </c>
    </row>
    <row r="344" spans="1:20" ht="15.75" thickBot="1">
      <c r="A344" s="97"/>
      <c r="B344" s="97"/>
      <c r="C344" s="97"/>
      <c r="D344" s="97"/>
      <c r="E344" s="97"/>
      <c r="F344" s="97"/>
      <c r="G344" s="97"/>
      <c r="H344" s="97"/>
      <c r="I344" s="97"/>
      <c r="J344" s="97"/>
      <c r="K344" s="97"/>
      <c r="L344" s="97"/>
      <c r="M344" s="97"/>
      <c r="N344" s="97"/>
      <c r="O344" s="97"/>
      <c r="P344" s="97"/>
      <c r="Q344" s="97"/>
      <c r="R344" s="97"/>
      <c r="S344" s="97"/>
      <c r="T344" s="773"/>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H240:S240"/>
    <mergeCell ref="H293:S293"/>
    <mergeCell ref="T223:U223"/>
    <mergeCell ref="H200:S200"/>
    <mergeCell ref="T204:U204"/>
    <mergeCell ref="H207:S207"/>
    <mergeCell ref="T217:U217"/>
    <mergeCell ref="H219:S219"/>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s>
  <phoneticPr fontId="33"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pplication xmlns="http://www.sap.com/cof/excel/application">
  <Version>2</Version>
  <Revision>2.7.001.82873</Revision>
</Application>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8" ma:contentTypeDescription="Create a new document." ma:contentTypeScope="" ma:versionID="9bce969b80be0e7452bf860544d7a586">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f3b890a301364e6d96ad59931ecd31b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0B8641-DBD3-4544-8D96-45B8AD3AF0B1}">
  <ds:schemaRefs>
    <ds:schemaRef ds:uri="http://www.sap.com/cof/excel/application"/>
  </ds:schemaRefs>
</ds:datastoreItem>
</file>

<file path=customXml/itemProps2.xml><?xml version="1.0" encoding="utf-8"?>
<ds:datastoreItem xmlns:ds="http://schemas.openxmlformats.org/officeDocument/2006/customXml" ds:itemID="{1B764223-8ACD-4B9C-80D6-F381497FC62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0EA9821-6124-429A-A9C4-EB1264D6A3B7}">
  <ds:schemaRefs>
    <ds:schemaRef ds:uri="http://schemas.microsoft.com/sharepoint/v3/contenttype/forms"/>
  </ds:schemaRefs>
</ds:datastoreItem>
</file>

<file path=customXml/itemProps4.xml><?xml version="1.0" encoding="utf-8"?>
<ds:datastoreItem xmlns:ds="http://schemas.openxmlformats.org/officeDocument/2006/customXml" ds:itemID="{5D0E7661-E5F9-4AD1-A070-561FD17092D3}"/>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Appendix A</vt:lpstr>
      <vt:lpstr>1A - ADIT</vt:lpstr>
      <vt:lpstr>1B - ADIT Proration</vt:lpstr>
      <vt:lpstr>1C - ADIT Prior Year</vt:lpstr>
      <vt:lpstr>1D - ADIT True-up</vt:lpstr>
      <vt:lpstr>1E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ADIT'!Print_Area</vt:lpstr>
      <vt:lpstr>'1B - ADIT Proration'!Print_Area</vt:lpstr>
      <vt:lpstr>'1C - ADIT Prior Year'!Print_Area</vt:lpstr>
      <vt:lpstr>'1E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Howdeshelt</dc:creator>
  <cp:lastModifiedBy>Paul Dumais</cp:lastModifiedBy>
  <dcterms:created xsi:type="dcterms:W3CDTF">2022-06-15T04:44:48Z</dcterms:created>
  <dcterms:modified xsi:type="dcterms:W3CDTF">2024-09-24T00:34:27Z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